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 updateLinks="never"/>
  <mc:AlternateContent xmlns:mc="http://schemas.openxmlformats.org/markup-compatibility/2006">
    <mc:Choice Requires="x15">
      <x15ac:absPath xmlns:x15ac="http://schemas.microsoft.com/office/spreadsheetml/2010/11/ac" url="https://enabelbe-my.sharepoint.com/personal/wiede_ceulemans_enabel_be/Documents/Cahier de travail/BEGEC/"/>
    </mc:Choice>
  </mc:AlternateContent>
  <xr:revisionPtr revIDLastSave="1824" documentId="8_{4952CBA1-86E4-4DAB-942A-34F0CDF46B2E}" xr6:coauthVersionLast="47" xr6:coauthVersionMax="47" xr10:uidLastSave="{73596659-5695-48E9-8784-B843F7628C0C}"/>
  <bookViews>
    <workbookView xWindow="28680" yWindow="-120" windowWidth="29040" windowHeight="15720" tabRatio="854" firstSheet="1" activeTab="3" xr2:uid="{00000000-000D-0000-FFFF-FFFF00000000}"/>
  </bookViews>
  <sheets>
    <sheet name="BPU_F" sheetId="14" state="hidden" r:id="rId1"/>
    <sheet name="BPU" sheetId="26" r:id="rId2"/>
    <sheet name="1 Lycée Ste Famille KANYINYA" sheetId="16" r:id="rId3"/>
    <sheet name="2 Lycée KIRUNDO" sheetId="17" r:id="rId4"/>
    <sheet name="3 Lycée COMM BUGABIRA" sheetId="18" r:id="rId5"/>
    <sheet name="4 Lycée RUKURAMIGABO" sheetId="19" r:id="rId6"/>
    <sheet name="5 Lycée KIGOZI" sheetId="20" r:id="rId7"/>
    <sheet name="6 Lycée MWENYA" sheetId="21" r:id="rId8"/>
    <sheet name="7 Lycée COMM NTEGA" sheetId="22" r:id="rId9"/>
    <sheet name="8 Lycée COMM CUMVA" sheetId="23" r:id="rId10"/>
    <sheet name="9 Lycée COMM VUMBI" sheetId="24" r:id="rId11"/>
    <sheet name="10 Lycée INTEGRITE VUMBI " sheetId="25" r:id="rId12"/>
    <sheet name="RECAPITURATIF " sheetId="12" r:id="rId13"/>
  </sheets>
  <externalReferences>
    <externalReference r:id="rId14"/>
  </externalReferences>
  <definedNames>
    <definedName name="_xlnm._FilterDatabase" localSheetId="0" hidden="1">BPU_F!$A$1:$J$1</definedName>
    <definedName name="DBC">[1]macro!$B$1:$C$1000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F112" i="21"/>
  <c r="F147" i="18"/>
  <c r="F148" i="18" s="1"/>
  <c r="F54" i="25"/>
  <c r="F55" i="25"/>
  <c r="F56" i="25"/>
  <c r="F58" i="25"/>
  <c r="F60" i="25"/>
  <c r="F61" i="25"/>
  <c r="F63" i="25"/>
  <c r="F68" i="25"/>
  <c r="F69" i="25"/>
  <c r="F65" i="25"/>
  <c r="F66" i="25"/>
  <c r="F67" i="25"/>
  <c r="F71" i="25"/>
  <c r="F52" i="25"/>
  <c r="F42" i="25"/>
  <c r="F36" i="25"/>
  <c r="F37" i="25"/>
  <c r="F38" i="25"/>
  <c r="F39" i="25"/>
  <c r="F40" i="25"/>
  <c r="F41" i="25"/>
  <c r="F43" i="25"/>
  <c r="F35" i="25"/>
  <c r="F10" i="25"/>
  <c r="F11" i="25"/>
  <c r="F12" i="25"/>
  <c r="F14" i="25"/>
  <c r="F15" i="25"/>
  <c r="F17" i="25"/>
  <c r="F18" i="25"/>
  <c r="F19" i="25"/>
  <c r="F20" i="25"/>
  <c r="F21" i="25"/>
  <c r="F22" i="25"/>
  <c r="F23" i="25"/>
  <c r="F24" i="25"/>
  <c r="F25" i="25"/>
  <c r="F26" i="25"/>
  <c r="F28" i="25"/>
  <c r="F8" i="25"/>
  <c r="F83" i="24"/>
  <c r="F120" i="24"/>
  <c r="F121" i="24"/>
  <c r="F122" i="24"/>
  <c r="F124" i="24"/>
  <c r="F125" i="24"/>
  <c r="F126" i="24"/>
  <c r="F127" i="24"/>
  <c r="F129" i="24"/>
  <c r="F134" i="24"/>
  <c r="F135" i="24"/>
  <c r="F131" i="24"/>
  <c r="F132" i="24"/>
  <c r="F133" i="24"/>
  <c r="F137" i="24"/>
  <c r="F118" i="24"/>
  <c r="F102" i="24"/>
  <c r="F103" i="24"/>
  <c r="F104" i="24"/>
  <c r="F105" i="24"/>
  <c r="F106" i="24"/>
  <c r="F107" i="24"/>
  <c r="F108" i="24"/>
  <c r="F109" i="24"/>
  <c r="F101" i="24"/>
  <c r="F77" i="24"/>
  <c r="F78" i="24"/>
  <c r="F80" i="24"/>
  <c r="F81" i="24"/>
  <c r="F84" i="24"/>
  <c r="F85" i="24"/>
  <c r="F86" i="24"/>
  <c r="F87" i="24"/>
  <c r="F88" i="24"/>
  <c r="F89" i="24"/>
  <c r="F90" i="24"/>
  <c r="F91" i="24"/>
  <c r="F92" i="24"/>
  <c r="F94" i="24"/>
  <c r="F76" i="24"/>
  <c r="F53" i="24"/>
  <c r="F55" i="24"/>
  <c r="F56" i="24"/>
  <c r="F58" i="24"/>
  <c r="F59" i="24"/>
  <c r="F60" i="24"/>
  <c r="F61" i="24"/>
  <c r="F64" i="24"/>
  <c r="F66" i="24"/>
  <c r="F68" i="24"/>
  <c r="F50" i="24"/>
  <c r="F10" i="24"/>
  <c r="F12" i="24"/>
  <c r="F13" i="24"/>
  <c r="F16" i="24"/>
  <c r="F17" i="24"/>
  <c r="F19" i="24"/>
  <c r="F20" i="24"/>
  <c r="F22" i="24"/>
  <c r="F25" i="24"/>
  <c r="F27" i="24"/>
  <c r="F29" i="24"/>
  <c r="F31" i="24"/>
  <c r="F33" i="24"/>
  <c r="F35" i="24"/>
  <c r="F37" i="24"/>
  <c r="F39" i="24"/>
  <c r="F41" i="24"/>
  <c r="F43" i="24"/>
  <c r="F8" i="24"/>
  <c r="F55" i="23"/>
  <c r="F56" i="23"/>
  <c r="F57" i="23"/>
  <c r="F58" i="23"/>
  <c r="F60" i="23"/>
  <c r="F62" i="23"/>
  <c r="F63" i="23"/>
  <c r="F64" i="23"/>
  <c r="F65" i="23"/>
  <c r="F70" i="23"/>
  <c r="F71" i="23"/>
  <c r="F67" i="23"/>
  <c r="F68" i="23"/>
  <c r="F69" i="23"/>
  <c r="F73" i="23"/>
  <c r="F53" i="23"/>
  <c r="F36" i="23"/>
  <c r="F37" i="23"/>
  <c r="F38" i="23"/>
  <c r="F39" i="23"/>
  <c r="F40" i="23"/>
  <c r="F41" i="23"/>
  <c r="F42" i="23"/>
  <c r="F43" i="23"/>
  <c r="F44" i="23"/>
  <c r="F35" i="23"/>
  <c r="F10" i="23"/>
  <c r="F11" i="23"/>
  <c r="F12" i="23"/>
  <c r="F14" i="23"/>
  <c r="F15" i="23"/>
  <c r="F17" i="23"/>
  <c r="F18" i="23"/>
  <c r="F19" i="23"/>
  <c r="F20" i="23"/>
  <c r="F21" i="23"/>
  <c r="F22" i="23"/>
  <c r="F23" i="23"/>
  <c r="F24" i="23"/>
  <c r="F25" i="23"/>
  <c r="F26" i="23"/>
  <c r="F28" i="23"/>
  <c r="F8" i="23"/>
  <c r="F121" i="22"/>
  <c r="F122" i="22"/>
  <c r="F123" i="22"/>
  <c r="F124" i="22"/>
  <c r="F126" i="22"/>
  <c r="F128" i="22"/>
  <c r="F129" i="22"/>
  <c r="F131" i="22"/>
  <c r="F136" i="22"/>
  <c r="F137" i="22"/>
  <c r="F133" i="22"/>
  <c r="F134" i="22"/>
  <c r="F135" i="22"/>
  <c r="F139" i="22"/>
  <c r="F119" i="22"/>
  <c r="F103" i="22"/>
  <c r="F104" i="22"/>
  <c r="F105" i="22"/>
  <c r="F106" i="22"/>
  <c r="F107" i="22"/>
  <c r="F108" i="22"/>
  <c r="F109" i="22"/>
  <c r="F110" i="22"/>
  <c r="F102" i="22"/>
  <c r="F95" i="22"/>
  <c r="F78" i="22"/>
  <c r="F79" i="22"/>
  <c r="F81" i="22"/>
  <c r="F82" i="22"/>
  <c r="F84" i="22"/>
  <c r="F85" i="22"/>
  <c r="F86" i="22"/>
  <c r="F87" i="22"/>
  <c r="F88" i="22"/>
  <c r="F89" i="22"/>
  <c r="F90" i="22"/>
  <c r="F91" i="22"/>
  <c r="F92" i="22"/>
  <c r="F93" i="22"/>
  <c r="F77" i="22"/>
  <c r="F55" i="22"/>
  <c r="F56" i="22"/>
  <c r="F58" i="22"/>
  <c r="F59" i="22"/>
  <c r="F61" i="22"/>
  <c r="F62" i="22"/>
  <c r="F63" i="22"/>
  <c r="F64" i="22"/>
  <c r="F67" i="22"/>
  <c r="F69" i="22"/>
  <c r="F52" i="22"/>
  <c r="F10" i="22"/>
  <c r="F11" i="22"/>
  <c r="F14" i="22"/>
  <c r="F15" i="22"/>
  <c r="F18" i="22"/>
  <c r="F19" i="22"/>
  <c r="F21" i="22"/>
  <c r="F22" i="22"/>
  <c r="F24" i="22"/>
  <c r="F27" i="22"/>
  <c r="F29" i="22"/>
  <c r="F31" i="22"/>
  <c r="F33" i="22"/>
  <c r="F35" i="22"/>
  <c r="F37" i="22"/>
  <c r="F39" i="22"/>
  <c r="F41" i="22"/>
  <c r="F43" i="22"/>
  <c r="F45" i="22"/>
  <c r="F8" i="22"/>
  <c r="F159" i="21"/>
  <c r="F160" i="21"/>
  <c r="F161" i="21"/>
  <c r="F162" i="21"/>
  <c r="F163" i="21"/>
  <c r="F164" i="21"/>
  <c r="F165" i="21"/>
  <c r="F158" i="21"/>
  <c r="F166" i="21" s="1"/>
  <c r="F145" i="21"/>
  <c r="F146" i="21"/>
  <c r="F147" i="21"/>
  <c r="F148" i="21"/>
  <c r="F149" i="21"/>
  <c r="F150" i="21"/>
  <c r="F151" i="21"/>
  <c r="F152" i="21"/>
  <c r="F153" i="21"/>
  <c r="F154" i="21"/>
  <c r="F155" i="21"/>
  <c r="F144" i="21"/>
  <c r="F137" i="21"/>
  <c r="F138" i="21"/>
  <c r="F139" i="21"/>
  <c r="F140" i="21"/>
  <c r="F141" i="21"/>
  <c r="F136" i="21"/>
  <c r="F142" i="21" s="1"/>
  <c r="F133" i="21"/>
  <c r="F134" i="21" s="1"/>
  <c r="F123" i="21"/>
  <c r="F124" i="21"/>
  <c r="F126" i="21"/>
  <c r="F121" i="21"/>
  <c r="F103" i="21"/>
  <c r="F104" i="21"/>
  <c r="F105" i="21"/>
  <c r="F106" i="21"/>
  <c r="F107" i="21"/>
  <c r="F108" i="21"/>
  <c r="F109" i="21"/>
  <c r="F110" i="21"/>
  <c r="F102" i="21"/>
  <c r="F78" i="21"/>
  <c r="F79" i="21"/>
  <c r="F81" i="21"/>
  <c r="F82" i="21"/>
  <c r="F84" i="21"/>
  <c r="F85" i="21"/>
  <c r="F86" i="21"/>
  <c r="F87" i="21"/>
  <c r="F88" i="21"/>
  <c r="F89" i="21"/>
  <c r="F90" i="21"/>
  <c r="F91" i="21"/>
  <c r="F92" i="21"/>
  <c r="F93" i="21"/>
  <c r="F95" i="21"/>
  <c r="F77" i="21"/>
  <c r="F61" i="21"/>
  <c r="F54" i="21"/>
  <c r="F56" i="21"/>
  <c r="F57" i="21"/>
  <c r="F59" i="21"/>
  <c r="F60" i="21"/>
  <c r="F62" i="21"/>
  <c r="F65" i="21"/>
  <c r="F67" i="21"/>
  <c r="F69" i="21"/>
  <c r="F51" i="21"/>
  <c r="F10" i="21"/>
  <c r="F13" i="21"/>
  <c r="F14" i="21"/>
  <c r="F17" i="21"/>
  <c r="F18" i="21"/>
  <c r="F20" i="21"/>
  <c r="F21" i="21"/>
  <c r="F23" i="21"/>
  <c r="F26" i="21"/>
  <c r="F27" i="21"/>
  <c r="F28" i="21"/>
  <c r="F30" i="21"/>
  <c r="F32" i="21"/>
  <c r="F34" i="21"/>
  <c r="F36" i="21"/>
  <c r="F38" i="21"/>
  <c r="F40" i="21"/>
  <c r="F42" i="21"/>
  <c r="F44" i="21"/>
  <c r="F8" i="21"/>
  <c r="F127" i="20"/>
  <c r="F128" i="20"/>
  <c r="F129" i="20"/>
  <c r="F130" i="20"/>
  <c r="F132" i="20"/>
  <c r="F134" i="20"/>
  <c r="F135" i="20"/>
  <c r="F137" i="20"/>
  <c r="F142" i="20"/>
  <c r="F143" i="20"/>
  <c r="F139" i="20"/>
  <c r="F140" i="20"/>
  <c r="F141" i="20"/>
  <c r="F145" i="20"/>
  <c r="F125" i="20"/>
  <c r="F108" i="20"/>
  <c r="F109" i="20"/>
  <c r="F110" i="20"/>
  <c r="F111" i="20"/>
  <c r="F112" i="20"/>
  <c r="F114" i="20"/>
  <c r="F115" i="20"/>
  <c r="F107" i="20"/>
  <c r="F83" i="20"/>
  <c r="F84" i="20"/>
  <c r="F86" i="20"/>
  <c r="F87" i="20"/>
  <c r="F89" i="20"/>
  <c r="F90" i="20"/>
  <c r="F91" i="20"/>
  <c r="F92" i="20"/>
  <c r="F93" i="20"/>
  <c r="F94" i="20"/>
  <c r="F95" i="20"/>
  <c r="F96" i="20"/>
  <c r="F97" i="20"/>
  <c r="F98" i="20"/>
  <c r="F100" i="20"/>
  <c r="F82" i="20"/>
  <c r="F71" i="20"/>
  <c r="F56" i="20"/>
  <c r="F57" i="20"/>
  <c r="F59" i="20"/>
  <c r="F60" i="20"/>
  <c r="F62" i="20"/>
  <c r="F63" i="20"/>
  <c r="F64" i="20"/>
  <c r="F65" i="20"/>
  <c r="F68" i="20"/>
  <c r="F70" i="20"/>
  <c r="F73" i="20"/>
  <c r="F74" i="20"/>
  <c r="F53" i="20"/>
  <c r="F10" i="20"/>
  <c r="F13" i="20"/>
  <c r="F14" i="20"/>
  <c r="F17" i="20"/>
  <c r="F18" i="20"/>
  <c r="F20" i="20"/>
  <c r="F21" i="20"/>
  <c r="F23" i="20"/>
  <c r="F26" i="20"/>
  <c r="F28" i="20"/>
  <c r="F30" i="20"/>
  <c r="F32" i="20"/>
  <c r="F34" i="20"/>
  <c r="F36" i="20"/>
  <c r="F38" i="20"/>
  <c r="F39" i="20"/>
  <c r="F41" i="20"/>
  <c r="F43" i="20"/>
  <c r="F45" i="20"/>
  <c r="F8" i="20"/>
  <c r="F10" i="19"/>
  <c r="F13" i="19"/>
  <c r="F14" i="19"/>
  <c r="F17" i="19"/>
  <c r="F18" i="19"/>
  <c r="F20" i="19"/>
  <c r="F21" i="19"/>
  <c r="F23" i="19"/>
  <c r="F26" i="19"/>
  <c r="F28" i="19"/>
  <c r="F30" i="19"/>
  <c r="F32" i="19"/>
  <c r="F34" i="19"/>
  <c r="F36" i="19"/>
  <c r="F38" i="19"/>
  <c r="F40" i="19"/>
  <c r="F42" i="19"/>
  <c r="F44" i="19"/>
  <c r="F8" i="19"/>
  <c r="F54" i="19"/>
  <c r="F56" i="19"/>
  <c r="F57" i="19"/>
  <c r="F59" i="19"/>
  <c r="F60" i="19"/>
  <c r="F61" i="19"/>
  <c r="F62" i="19"/>
  <c r="F65" i="19"/>
  <c r="F67" i="19"/>
  <c r="F69" i="19"/>
  <c r="F51" i="19"/>
  <c r="F78" i="19"/>
  <c r="F79" i="19"/>
  <c r="F81" i="19"/>
  <c r="F82" i="19"/>
  <c r="F84" i="19"/>
  <c r="F85" i="19"/>
  <c r="F86" i="19"/>
  <c r="F87" i="19"/>
  <c r="F88" i="19"/>
  <c r="F89" i="19"/>
  <c r="F90" i="19"/>
  <c r="F91" i="19"/>
  <c r="F92" i="19"/>
  <c r="F93" i="19"/>
  <c r="F95" i="19"/>
  <c r="F77" i="19"/>
  <c r="F103" i="19"/>
  <c r="F104" i="19"/>
  <c r="F105" i="19"/>
  <c r="F106" i="19"/>
  <c r="F107" i="19"/>
  <c r="F108" i="19"/>
  <c r="F109" i="19"/>
  <c r="F110" i="19"/>
  <c r="F102" i="19"/>
  <c r="F111" i="19" s="1"/>
  <c r="F121" i="19"/>
  <c r="F122" i="19"/>
  <c r="F123" i="19"/>
  <c r="F125" i="19"/>
  <c r="F126" i="19"/>
  <c r="F127" i="19"/>
  <c r="F128" i="19"/>
  <c r="F130" i="19"/>
  <c r="F119" i="19"/>
  <c r="F125" i="18"/>
  <c r="F126" i="18"/>
  <c r="F127" i="18"/>
  <c r="F128" i="18"/>
  <c r="F130" i="18"/>
  <c r="F132" i="18"/>
  <c r="F133" i="18"/>
  <c r="F135" i="18"/>
  <c r="F140" i="18"/>
  <c r="F141" i="18"/>
  <c r="F137" i="18"/>
  <c r="F138" i="18"/>
  <c r="F139" i="18"/>
  <c r="F143" i="18"/>
  <c r="F123" i="18"/>
  <c r="F107" i="18"/>
  <c r="F108" i="18"/>
  <c r="F109" i="18"/>
  <c r="F110" i="18"/>
  <c r="F111" i="18"/>
  <c r="F112" i="18"/>
  <c r="F113" i="18"/>
  <c r="F114" i="18"/>
  <c r="F106" i="18"/>
  <c r="F82" i="18"/>
  <c r="F83" i="18"/>
  <c r="F85" i="18"/>
  <c r="F86" i="18"/>
  <c r="F88" i="18"/>
  <c r="F89" i="18"/>
  <c r="F90" i="18"/>
  <c r="F91" i="18"/>
  <c r="F92" i="18"/>
  <c r="F93" i="18"/>
  <c r="F94" i="18"/>
  <c r="F95" i="18"/>
  <c r="F96" i="18"/>
  <c r="F97" i="18"/>
  <c r="F99" i="18"/>
  <c r="F81" i="18"/>
  <c r="F55" i="18"/>
  <c r="F56" i="18"/>
  <c r="F58" i="18"/>
  <c r="F59" i="18"/>
  <c r="F61" i="18"/>
  <c r="F62" i="18"/>
  <c r="F63" i="18"/>
  <c r="F64" i="18"/>
  <c r="F67" i="18"/>
  <c r="F69" i="18"/>
  <c r="F70" i="18"/>
  <c r="F71" i="18"/>
  <c r="F73" i="18"/>
  <c r="F52" i="18"/>
  <c r="F10" i="18"/>
  <c r="F11" i="18"/>
  <c r="F13" i="18"/>
  <c r="F14" i="18"/>
  <c r="F17" i="18"/>
  <c r="F18" i="18"/>
  <c r="F20" i="18"/>
  <c r="F21" i="18"/>
  <c r="F23" i="18"/>
  <c r="F26" i="18"/>
  <c r="F28" i="18"/>
  <c r="F30" i="18"/>
  <c r="F32" i="18"/>
  <c r="F34" i="18"/>
  <c r="F36" i="18"/>
  <c r="F38" i="18"/>
  <c r="F40" i="18"/>
  <c r="F42" i="18"/>
  <c r="F44" i="18"/>
  <c r="F8" i="18"/>
  <c r="F231" i="17"/>
  <c r="F232" i="17"/>
  <c r="F233" i="17"/>
  <c r="F234" i="17"/>
  <c r="F235" i="17"/>
  <c r="F236" i="17"/>
  <c r="F237" i="17"/>
  <c r="F238" i="17"/>
  <c r="F230" i="17"/>
  <c r="F206" i="17"/>
  <c r="F207" i="17"/>
  <c r="F209" i="17"/>
  <c r="F210" i="17"/>
  <c r="F212" i="17"/>
  <c r="F213" i="17"/>
  <c r="F214" i="17"/>
  <c r="F215" i="17"/>
  <c r="F216" i="17"/>
  <c r="F217" i="17"/>
  <c r="F218" i="17"/>
  <c r="F219" i="17"/>
  <c r="F220" i="17"/>
  <c r="F221" i="17"/>
  <c r="F223" i="17"/>
  <c r="F205" i="17"/>
  <c r="F184" i="17"/>
  <c r="F186" i="17"/>
  <c r="F187" i="17"/>
  <c r="F189" i="17"/>
  <c r="F190" i="17"/>
  <c r="F191" i="17"/>
  <c r="F192" i="17"/>
  <c r="F195" i="17"/>
  <c r="F197" i="17"/>
  <c r="F181" i="17"/>
  <c r="F198" i="17" s="1"/>
  <c r="F142" i="17"/>
  <c r="F143" i="17"/>
  <c r="F146" i="17"/>
  <c r="F147" i="17"/>
  <c r="F149" i="17"/>
  <c r="F150" i="17"/>
  <c r="F152" i="17"/>
  <c r="F155" i="17"/>
  <c r="F157" i="17"/>
  <c r="F159" i="17"/>
  <c r="F161" i="17"/>
  <c r="F163" i="17"/>
  <c r="F165" i="17"/>
  <c r="F167" i="17"/>
  <c r="F169" i="17"/>
  <c r="F171" i="17"/>
  <c r="F173" i="17"/>
  <c r="F140" i="17"/>
  <c r="F117" i="17"/>
  <c r="F118" i="17"/>
  <c r="F121" i="17"/>
  <c r="F123" i="17"/>
  <c r="F125" i="17"/>
  <c r="F126" i="17"/>
  <c r="F128" i="17"/>
  <c r="F130" i="17"/>
  <c r="F131" i="17"/>
  <c r="F116" i="17"/>
  <c r="F89" i="17"/>
  <c r="F90" i="17"/>
  <c r="F91" i="17"/>
  <c r="F92" i="17"/>
  <c r="F95" i="17"/>
  <c r="F97" i="17"/>
  <c r="F99" i="17"/>
  <c r="F100" i="17"/>
  <c r="F101" i="17"/>
  <c r="F102" i="17"/>
  <c r="F103" i="17"/>
  <c r="F105" i="17"/>
  <c r="F107" i="17"/>
  <c r="F108" i="17"/>
  <c r="F88" i="17"/>
  <c r="F9" i="17"/>
  <c r="F10" i="17"/>
  <c r="F11" i="17"/>
  <c r="F12" i="17"/>
  <c r="F13" i="17"/>
  <c r="F14" i="17"/>
  <c r="F15" i="17"/>
  <c r="F16" i="17"/>
  <c r="F18" i="17"/>
  <c r="F19" i="17"/>
  <c r="F20" i="17"/>
  <c r="F22" i="17"/>
  <c r="F23" i="17"/>
  <c r="F25" i="17"/>
  <c r="F28" i="17"/>
  <c r="F29" i="17"/>
  <c r="F30" i="17"/>
  <c r="F32" i="17"/>
  <c r="F33" i="17"/>
  <c r="F34" i="17"/>
  <c r="F36" i="17"/>
  <c r="F39" i="17"/>
  <c r="F40" i="17"/>
  <c r="F42" i="17"/>
  <c r="F43" i="17"/>
  <c r="F44" i="17"/>
  <c r="F46" i="17"/>
  <c r="F47" i="17"/>
  <c r="F48" i="17"/>
  <c r="F49" i="17"/>
  <c r="F54" i="17"/>
  <c r="F55" i="17"/>
  <c r="F57" i="17"/>
  <c r="F58" i="17"/>
  <c r="F59" i="17"/>
  <c r="F60" i="17"/>
  <c r="F62" i="17"/>
  <c r="F64" i="17"/>
  <c r="F65" i="17"/>
  <c r="F67" i="17"/>
  <c r="F69" i="17"/>
  <c r="F70" i="17"/>
  <c r="F71" i="17"/>
  <c r="F72" i="17"/>
  <c r="F73" i="17"/>
  <c r="F74" i="17"/>
  <c r="F75" i="17"/>
  <c r="F77" i="17"/>
  <c r="F79" i="17"/>
  <c r="F80" i="17"/>
  <c r="F8" i="17"/>
  <c r="F303" i="16"/>
  <c r="F305" i="16"/>
  <c r="F306" i="16"/>
  <c r="F307" i="16"/>
  <c r="F308" i="16"/>
  <c r="F310" i="16"/>
  <c r="F312" i="16"/>
  <c r="F313" i="16"/>
  <c r="F315" i="16"/>
  <c r="F317" i="16"/>
  <c r="F318" i="16"/>
  <c r="F319" i="16"/>
  <c r="F320" i="16"/>
  <c r="F321" i="16"/>
  <c r="F322" i="16"/>
  <c r="F323" i="16"/>
  <c r="F325" i="16"/>
  <c r="F302" i="16"/>
  <c r="F284" i="16"/>
  <c r="F285" i="16"/>
  <c r="F287" i="16"/>
  <c r="F288" i="16"/>
  <c r="F289" i="16"/>
  <c r="F290" i="16"/>
  <c r="F291" i="16"/>
  <c r="F293" i="16"/>
  <c r="F294" i="16"/>
  <c r="F295" i="16"/>
  <c r="F282" i="16"/>
  <c r="F269" i="16"/>
  <c r="F270" i="16"/>
  <c r="F271" i="16"/>
  <c r="F273" i="16"/>
  <c r="F275" i="16"/>
  <c r="F264" i="16"/>
  <c r="F265" i="16"/>
  <c r="F266" i="16"/>
  <c r="F263" i="16"/>
  <c r="F261" i="16"/>
  <c r="F260" i="16"/>
  <c r="F258" i="16"/>
  <c r="F255" i="16"/>
  <c r="F216" i="16"/>
  <c r="F217" i="16"/>
  <c r="F220" i="16"/>
  <c r="F221" i="16"/>
  <c r="F223" i="16"/>
  <c r="F224" i="16"/>
  <c r="F226" i="16"/>
  <c r="F229" i="16"/>
  <c r="F231" i="16"/>
  <c r="F233" i="16"/>
  <c r="F235" i="16"/>
  <c r="F237" i="16"/>
  <c r="F239" i="16"/>
  <c r="F241" i="16"/>
  <c r="F243" i="16"/>
  <c r="F245" i="16"/>
  <c r="F247" i="16"/>
  <c r="F214" i="16"/>
  <c r="F205" i="16"/>
  <c r="F203" i="16"/>
  <c r="F198" i="16"/>
  <c r="F199" i="16"/>
  <c r="F200" i="16"/>
  <c r="F197" i="16"/>
  <c r="F195" i="16"/>
  <c r="F194" i="16"/>
  <c r="F192" i="16"/>
  <c r="F189" i="16"/>
  <c r="F149" i="16"/>
  <c r="F151" i="16"/>
  <c r="F152" i="16"/>
  <c r="F155" i="16"/>
  <c r="F156" i="16"/>
  <c r="F158" i="16"/>
  <c r="F159" i="16"/>
  <c r="F161" i="16"/>
  <c r="F164" i="16"/>
  <c r="F166" i="16"/>
  <c r="F168" i="16"/>
  <c r="F170" i="16"/>
  <c r="F172" i="16"/>
  <c r="F174" i="16"/>
  <c r="F176" i="16"/>
  <c r="F178" i="16"/>
  <c r="F180" i="16"/>
  <c r="F182" i="16"/>
  <c r="F148" i="16"/>
  <c r="F139" i="16"/>
  <c r="F138" i="16"/>
  <c r="F136" i="16"/>
  <c r="F135" i="16"/>
  <c r="F130" i="16"/>
  <c r="F131" i="16"/>
  <c r="F129" i="16"/>
  <c r="F127" i="16"/>
  <c r="F124" i="16"/>
  <c r="F120" i="16"/>
  <c r="F121" i="16"/>
  <c r="F119" i="16"/>
  <c r="F111" i="16"/>
  <c r="F110" i="16"/>
  <c r="F108" i="16"/>
  <c r="F107" i="16"/>
  <c r="F102" i="16"/>
  <c r="F103" i="16"/>
  <c r="F101" i="16"/>
  <c r="F99" i="16"/>
  <c r="F96" i="16"/>
  <c r="F92" i="16"/>
  <c r="F93" i="16"/>
  <c r="F91" i="16"/>
  <c r="F80" i="16"/>
  <c r="F81" i="16"/>
  <c r="F79" i="16"/>
  <c r="F16" i="16"/>
  <c r="F17" i="16"/>
  <c r="F18" i="16"/>
  <c r="F19" i="16"/>
  <c r="F21" i="16"/>
  <c r="F22" i="16"/>
  <c r="F23" i="16"/>
  <c r="F24" i="16"/>
  <c r="F25" i="16"/>
  <c r="F28" i="16"/>
  <c r="F29" i="16"/>
  <c r="F30" i="16"/>
  <c r="F33" i="16"/>
  <c r="F34" i="16"/>
  <c r="F35" i="16"/>
  <c r="F39" i="16"/>
  <c r="F40" i="16"/>
  <c r="F41" i="16"/>
  <c r="F43" i="16"/>
  <c r="F44" i="16"/>
  <c r="F48" i="16"/>
  <c r="F49" i="16"/>
  <c r="F51" i="16"/>
  <c r="F54" i="16"/>
  <c r="F55" i="16"/>
  <c r="F56" i="16"/>
  <c r="F58" i="16"/>
  <c r="F61" i="16"/>
  <c r="F64" i="16"/>
  <c r="F65" i="16"/>
  <c r="F66" i="16"/>
  <c r="F67" i="16"/>
  <c r="F70" i="16"/>
  <c r="F15" i="16"/>
  <c r="F7" i="16"/>
  <c r="F8" i="16"/>
  <c r="F11" i="16"/>
  <c r="F70" i="19" l="1"/>
  <c r="F71" i="16"/>
  <c r="F239" i="17"/>
  <c r="F140" i="22"/>
  <c r="F115" i="18"/>
  <c r="F100" i="18"/>
  <c r="F116" i="18" s="1"/>
  <c r="F96" i="21"/>
  <c r="F131" i="19"/>
  <c r="F156" i="21"/>
  <c r="F167" i="21" s="1"/>
  <c r="F46" i="22"/>
  <c r="F45" i="21"/>
  <c r="F45" i="19"/>
  <c r="F71" i="19" s="1"/>
  <c r="F96" i="22"/>
  <c r="F96" i="19"/>
  <c r="F112" i="19" s="1"/>
  <c r="F127" i="21"/>
  <c r="F144" i="18"/>
  <c r="F70" i="22"/>
  <c r="F45" i="18"/>
  <c r="F111" i="21"/>
  <c r="F111" i="22"/>
  <c r="F84" i="16"/>
  <c r="F70" i="21"/>
  <c r="F45" i="23"/>
  <c r="F29" i="23"/>
  <c r="F132" i="17"/>
  <c r="F74" i="23"/>
  <c r="F116" i="20"/>
  <c r="F112" i="16"/>
  <c r="F72" i="25"/>
  <c r="F44" i="25"/>
  <c r="F29" i="25"/>
  <c r="F95" i="24"/>
  <c r="F44" i="24"/>
  <c r="F110" i="24"/>
  <c r="F138" i="24"/>
  <c r="F69" i="24"/>
  <c r="F74" i="18"/>
  <c r="F101" i="20"/>
  <c r="F75" i="20"/>
  <c r="F46" i="20"/>
  <c r="F146" i="20"/>
  <c r="F326" i="16"/>
  <c r="F140" i="16"/>
  <c r="F183" i="16"/>
  <c r="F206" i="16"/>
  <c r="F296" i="16"/>
  <c r="F248" i="16"/>
  <c r="F276" i="16"/>
  <c r="F109" i="17"/>
  <c r="F81" i="17"/>
  <c r="F174" i="17"/>
  <c r="F199" i="17" s="1"/>
  <c r="F224" i="17"/>
  <c r="F240" i="17" s="1"/>
  <c r="F112" i="22" l="1"/>
  <c r="F71" i="22"/>
  <c r="F142" i="22" s="1"/>
  <c r="F143" i="22" s="1"/>
  <c r="F144" i="22" s="1"/>
  <c r="F133" i="19"/>
  <c r="F134" i="19" s="1"/>
  <c r="F135" i="19" s="1"/>
  <c r="F241" i="17"/>
  <c r="F243" i="17" s="1"/>
  <c r="F70" i="24"/>
  <c r="F46" i="23"/>
  <c r="F76" i="23" s="1"/>
  <c r="F77" i="23" s="1"/>
  <c r="F78" i="23" s="1"/>
  <c r="F75" i="18"/>
  <c r="F146" i="18" s="1"/>
  <c r="H8" i="12" s="1"/>
  <c r="F207" i="16"/>
  <c r="F208" i="16" s="1"/>
  <c r="F76" i="20"/>
  <c r="F71" i="21"/>
  <c r="F169" i="21" s="1"/>
  <c r="F111" i="24"/>
  <c r="F117" i="20"/>
  <c r="F45" i="25"/>
  <c r="F74" i="25" s="1"/>
  <c r="F277" i="16"/>
  <c r="H12" i="12" l="1"/>
  <c r="F148" i="20"/>
  <c r="H10" i="12" s="1"/>
  <c r="H9" i="12"/>
  <c r="F140" i="24"/>
  <c r="H14" i="12" s="1"/>
  <c r="H7" i="12"/>
  <c r="H13" i="12"/>
  <c r="F328" i="16"/>
  <c r="H6" i="12" s="1"/>
  <c r="H11" i="12"/>
  <c r="F170" i="21"/>
  <c r="F171" i="21" s="1"/>
  <c r="H15" i="12"/>
  <c r="F75" i="25"/>
  <c r="F76" i="25" s="1"/>
  <c r="F141" i="24" l="1"/>
  <c r="F142" i="24" s="1"/>
  <c r="F149" i="20"/>
  <c r="F150" i="20" s="1"/>
  <c r="F244" i="17"/>
  <c r="F245" i="17" s="1"/>
  <c r="I1202" i="14"/>
  <c r="H1202" i="14"/>
  <c r="G1202" i="14"/>
  <c r="I1201" i="14"/>
  <c r="H1201" i="14"/>
  <c r="G1201" i="14"/>
  <c r="I1200" i="14"/>
  <c r="H1200" i="14"/>
  <c r="J1200" i="14" s="1"/>
  <c r="K1200" i="14" s="1"/>
  <c r="G1200" i="14"/>
  <c r="I1199" i="14"/>
  <c r="H1199" i="14"/>
  <c r="G1199" i="14"/>
  <c r="I1198" i="14"/>
  <c r="H1198" i="14"/>
  <c r="G1198" i="14"/>
  <c r="I1197" i="14"/>
  <c r="H1197" i="14"/>
  <c r="G1197" i="14"/>
  <c r="I1196" i="14"/>
  <c r="H1196" i="14"/>
  <c r="G1196" i="14"/>
  <c r="I1195" i="14"/>
  <c r="H1195" i="14"/>
  <c r="G1195" i="14"/>
  <c r="I1194" i="14"/>
  <c r="H1194" i="14"/>
  <c r="G1194" i="14"/>
  <c r="I1193" i="14"/>
  <c r="H1193" i="14"/>
  <c r="G1193" i="14"/>
  <c r="I1192" i="14"/>
  <c r="H1192" i="14"/>
  <c r="G1192" i="14"/>
  <c r="I1191" i="14"/>
  <c r="H1191" i="14"/>
  <c r="G1191" i="14"/>
  <c r="I1190" i="14"/>
  <c r="H1190" i="14"/>
  <c r="G1190" i="14"/>
  <c r="I1189" i="14"/>
  <c r="H1189" i="14"/>
  <c r="G1189" i="14"/>
  <c r="I1188" i="14"/>
  <c r="H1188" i="14"/>
  <c r="G1188" i="14"/>
  <c r="I1187" i="14"/>
  <c r="H1187" i="14"/>
  <c r="G1187" i="14"/>
  <c r="I1186" i="14"/>
  <c r="H1186" i="14"/>
  <c r="G1186" i="14"/>
  <c r="I1185" i="14"/>
  <c r="H1185" i="14"/>
  <c r="G1185" i="14"/>
  <c r="I1184" i="14"/>
  <c r="H1184" i="14"/>
  <c r="G1184" i="14"/>
  <c r="I1183" i="14"/>
  <c r="H1183" i="14"/>
  <c r="G1183" i="14"/>
  <c r="I1182" i="14"/>
  <c r="H1182" i="14"/>
  <c r="G1182" i="14"/>
  <c r="I1181" i="14"/>
  <c r="H1181" i="14"/>
  <c r="G1181" i="14"/>
  <c r="I1180" i="14"/>
  <c r="H1180" i="14"/>
  <c r="G1180" i="14"/>
  <c r="I1179" i="14"/>
  <c r="H1179" i="14"/>
  <c r="G1179" i="14"/>
  <c r="I1178" i="14"/>
  <c r="H1178" i="14"/>
  <c r="G1178" i="14"/>
  <c r="I1177" i="14"/>
  <c r="H1177" i="14"/>
  <c r="G1177" i="14"/>
  <c r="I1176" i="14"/>
  <c r="H1176" i="14"/>
  <c r="G1176" i="14"/>
  <c r="I1175" i="14"/>
  <c r="H1175" i="14"/>
  <c r="G1175" i="14"/>
  <c r="I1174" i="14"/>
  <c r="H1174" i="14"/>
  <c r="G1174" i="14"/>
  <c r="K1165" i="14"/>
  <c r="I1165" i="14"/>
  <c r="H1165" i="14"/>
  <c r="I1156" i="14"/>
  <c r="H1156" i="14"/>
  <c r="G1156" i="14"/>
  <c r="I1155" i="14"/>
  <c r="H1155" i="14"/>
  <c r="G1155" i="14"/>
  <c r="I1154" i="14"/>
  <c r="H1154" i="14"/>
  <c r="G1154" i="14"/>
  <c r="I1153" i="14"/>
  <c r="H1153" i="14"/>
  <c r="G1153" i="14"/>
  <c r="I1152" i="14"/>
  <c r="H1152" i="14"/>
  <c r="J1152" i="14" s="1"/>
  <c r="K1152" i="14" s="1"/>
  <c r="G1152" i="14"/>
  <c r="I1151" i="14"/>
  <c r="H1151" i="14"/>
  <c r="G1151" i="14"/>
  <c r="I1150" i="14"/>
  <c r="H1150" i="14"/>
  <c r="G1150" i="14"/>
  <c r="I1148" i="14"/>
  <c r="H1148" i="14"/>
  <c r="G1148" i="14"/>
  <c r="I1147" i="14"/>
  <c r="H1147" i="14"/>
  <c r="G1147" i="14"/>
  <c r="I1146" i="14"/>
  <c r="H1146" i="14"/>
  <c r="G1146" i="14"/>
  <c r="I1145" i="14"/>
  <c r="H1145" i="14"/>
  <c r="G1145" i="14"/>
  <c r="I1143" i="14"/>
  <c r="H1143" i="14"/>
  <c r="G1143" i="14"/>
  <c r="I1142" i="14"/>
  <c r="H1142" i="14"/>
  <c r="J1142" i="14" s="1"/>
  <c r="L1142" i="14" s="1"/>
  <c r="G1142" i="14"/>
  <c r="I1141" i="14"/>
  <c r="H1141" i="14"/>
  <c r="G1141" i="14"/>
  <c r="I1140" i="14"/>
  <c r="H1140" i="14"/>
  <c r="G1140" i="14"/>
  <c r="I1139" i="14"/>
  <c r="H1139" i="14"/>
  <c r="G1139" i="14"/>
  <c r="I1138" i="14"/>
  <c r="H1138" i="14"/>
  <c r="G1138" i="14"/>
  <c r="I1137" i="14"/>
  <c r="H1137" i="14"/>
  <c r="G1137" i="14"/>
  <c r="I1136" i="14"/>
  <c r="H1136" i="14"/>
  <c r="G1136" i="14"/>
  <c r="I1135" i="14"/>
  <c r="H1135" i="14"/>
  <c r="G1135" i="14"/>
  <c r="I1134" i="14"/>
  <c r="H1134" i="14"/>
  <c r="G1134" i="14"/>
  <c r="I1133" i="14"/>
  <c r="H1133" i="14"/>
  <c r="G1133" i="14"/>
  <c r="I1132" i="14"/>
  <c r="H1132" i="14"/>
  <c r="G1132" i="14"/>
  <c r="I1131" i="14"/>
  <c r="H1131" i="14"/>
  <c r="G1131" i="14"/>
  <c r="I1130" i="14"/>
  <c r="H1130" i="14"/>
  <c r="G1130" i="14"/>
  <c r="I1129" i="14"/>
  <c r="H1129" i="14"/>
  <c r="G1129" i="14"/>
  <c r="I1128" i="14"/>
  <c r="H1128" i="14"/>
  <c r="G1128" i="14"/>
  <c r="I1127" i="14"/>
  <c r="H1127" i="14"/>
  <c r="G1127" i="14"/>
  <c r="I1126" i="14"/>
  <c r="H1126" i="14"/>
  <c r="G1126" i="14"/>
  <c r="I1125" i="14"/>
  <c r="I1124" i="14"/>
  <c r="H1124" i="14"/>
  <c r="G1124" i="14"/>
  <c r="I1123" i="14"/>
  <c r="I1122" i="14"/>
  <c r="I1121" i="14"/>
  <c r="H1121" i="14"/>
  <c r="I1120" i="14"/>
  <c r="I1119" i="14"/>
  <c r="I1118" i="14"/>
  <c r="H1118" i="14"/>
  <c r="I1117" i="14"/>
  <c r="I1108" i="14"/>
  <c r="H1108" i="14"/>
  <c r="G1108" i="14"/>
  <c r="I1116" i="14"/>
  <c r="H1116" i="14"/>
  <c r="G1116" i="14"/>
  <c r="I1115" i="14"/>
  <c r="H1115" i="14"/>
  <c r="G1115" i="14"/>
  <c r="I1114" i="14"/>
  <c r="H1114" i="14"/>
  <c r="G1114" i="14"/>
  <c r="I1113" i="14"/>
  <c r="H1113" i="14"/>
  <c r="G1113" i="14"/>
  <c r="I1112" i="14"/>
  <c r="H1112" i="14"/>
  <c r="G1112" i="14"/>
  <c r="I1111" i="14"/>
  <c r="H1111" i="14"/>
  <c r="G1111" i="14"/>
  <c r="I1110" i="14"/>
  <c r="H1110" i="14"/>
  <c r="G1110" i="14"/>
  <c r="I1109" i="14"/>
  <c r="H1109" i="14"/>
  <c r="G1109" i="14"/>
  <c r="I1107" i="14"/>
  <c r="H1107" i="14"/>
  <c r="G1107" i="14"/>
  <c r="I1097" i="14"/>
  <c r="H1097" i="14"/>
  <c r="G1097" i="14"/>
  <c r="I1106" i="14"/>
  <c r="H1106" i="14"/>
  <c r="G1106" i="14"/>
  <c r="I1105" i="14"/>
  <c r="H1105" i="14"/>
  <c r="G1105" i="14"/>
  <c r="I1104" i="14"/>
  <c r="H1104" i="14"/>
  <c r="G1104" i="14"/>
  <c r="I1103" i="14"/>
  <c r="H1103" i="14"/>
  <c r="G1103" i="14"/>
  <c r="I1102" i="14"/>
  <c r="H1102" i="14"/>
  <c r="G1102" i="14"/>
  <c r="I1101" i="14"/>
  <c r="H1101" i="14"/>
  <c r="J1101" i="14" s="1"/>
  <c r="K1101" i="14" s="1"/>
  <c r="G1101" i="14"/>
  <c r="I1100" i="14"/>
  <c r="H1100" i="14"/>
  <c r="G1100" i="14"/>
  <c r="I1099" i="14"/>
  <c r="H1099" i="14"/>
  <c r="G1099" i="14"/>
  <c r="I1098" i="14"/>
  <c r="H1098" i="14"/>
  <c r="G1098" i="14"/>
  <c r="I1088" i="14"/>
  <c r="H1088" i="14"/>
  <c r="G1088" i="14"/>
  <c r="I1096" i="14"/>
  <c r="H1096" i="14"/>
  <c r="G1096" i="14"/>
  <c r="I1095" i="14"/>
  <c r="H1095" i="14"/>
  <c r="G1095" i="14"/>
  <c r="I1094" i="14"/>
  <c r="H1094" i="14"/>
  <c r="G1094" i="14"/>
  <c r="I1093" i="14"/>
  <c r="H1093" i="14"/>
  <c r="J1093" i="14" s="1"/>
  <c r="G1093" i="14"/>
  <c r="I1092" i="14"/>
  <c r="H1092" i="14"/>
  <c r="G1092" i="14"/>
  <c r="I1091" i="14"/>
  <c r="H1091" i="14"/>
  <c r="G1091" i="14"/>
  <c r="I1090" i="14"/>
  <c r="H1090" i="14"/>
  <c r="G1090" i="14"/>
  <c r="I1089" i="14"/>
  <c r="H1089" i="14"/>
  <c r="G1089" i="14"/>
  <c r="I1087" i="14"/>
  <c r="H1087" i="14"/>
  <c r="G1087" i="14"/>
  <c r="I1086" i="14"/>
  <c r="H1086" i="14"/>
  <c r="G1086" i="14"/>
  <c r="I1085" i="14"/>
  <c r="H1085" i="14"/>
  <c r="G1085" i="14"/>
  <c r="I1084" i="14"/>
  <c r="H1084" i="14"/>
  <c r="G1084" i="14"/>
  <c r="I1083" i="14"/>
  <c r="H1083" i="14"/>
  <c r="G1083" i="14"/>
  <c r="I1082" i="14"/>
  <c r="H1082" i="14"/>
  <c r="G1082" i="14"/>
  <c r="I1081" i="14"/>
  <c r="H1081" i="14"/>
  <c r="G1081" i="14"/>
  <c r="I1080" i="14"/>
  <c r="H1080" i="14"/>
  <c r="G1080" i="14"/>
  <c r="I1079" i="14"/>
  <c r="H1079" i="14"/>
  <c r="G1079" i="14"/>
  <c r="I1078" i="14"/>
  <c r="H1078" i="14"/>
  <c r="G1078" i="14"/>
  <c r="I1068" i="14"/>
  <c r="H1068" i="14"/>
  <c r="G1068" i="14"/>
  <c r="I1077" i="14"/>
  <c r="H1077" i="14"/>
  <c r="G1077" i="14"/>
  <c r="I1076" i="14"/>
  <c r="H1076" i="14"/>
  <c r="G1076" i="14"/>
  <c r="I1075" i="14"/>
  <c r="H1075" i="14"/>
  <c r="G1075" i="14"/>
  <c r="I1074" i="14"/>
  <c r="H1074" i="14"/>
  <c r="G1074" i="14"/>
  <c r="I1073" i="14"/>
  <c r="H1073" i="14"/>
  <c r="G1073" i="14"/>
  <c r="I1072" i="14"/>
  <c r="H1072" i="14"/>
  <c r="G1072" i="14"/>
  <c r="I1071" i="14"/>
  <c r="H1071" i="14"/>
  <c r="G1071" i="14"/>
  <c r="I1070" i="14"/>
  <c r="H1070" i="14"/>
  <c r="G1070" i="14"/>
  <c r="I1069" i="14"/>
  <c r="H1069" i="14"/>
  <c r="G1069" i="14"/>
  <c r="I1058" i="14"/>
  <c r="H1058" i="14"/>
  <c r="G1058" i="14"/>
  <c r="I1067" i="14"/>
  <c r="H1067" i="14"/>
  <c r="G1067" i="14"/>
  <c r="I1066" i="14"/>
  <c r="H1066" i="14"/>
  <c r="G1066" i="14"/>
  <c r="I1065" i="14"/>
  <c r="H1065" i="14"/>
  <c r="G1065" i="14"/>
  <c r="I1064" i="14"/>
  <c r="H1064" i="14"/>
  <c r="G1064" i="14"/>
  <c r="I1063" i="14"/>
  <c r="H1063" i="14"/>
  <c r="G1063" i="14"/>
  <c r="I1062" i="14"/>
  <c r="H1062" i="14"/>
  <c r="G1062" i="14"/>
  <c r="I1061" i="14"/>
  <c r="H1061" i="14"/>
  <c r="G1061" i="14"/>
  <c r="I1060" i="14"/>
  <c r="H1060" i="14"/>
  <c r="G1060" i="14"/>
  <c r="I1059" i="14"/>
  <c r="H1059" i="14"/>
  <c r="G1059" i="14"/>
  <c r="I1048" i="14"/>
  <c r="H1048" i="14"/>
  <c r="G1048" i="14"/>
  <c r="I1057" i="14"/>
  <c r="H1057" i="14"/>
  <c r="G1057" i="14"/>
  <c r="I1056" i="14"/>
  <c r="H1056" i="14"/>
  <c r="G1056" i="14"/>
  <c r="I1055" i="14"/>
  <c r="H1055" i="14"/>
  <c r="G1055" i="14"/>
  <c r="I1054" i="14"/>
  <c r="H1054" i="14"/>
  <c r="G1054" i="14"/>
  <c r="I1053" i="14"/>
  <c r="H1053" i="14"/>
  <c r="G1053" i="14"/>
  <c r="I1052" i="14"/>
  <c r="H1052" i="14"/>
  <c r="G1052" i="14"/>
  <c r="I1051" i="14"/>
  <c r="H1051" i="14"/>
  <c r="G1051" i="14"/>
  <c r="I1050" i="14"/>
  <c r="H1050" i="14"/>
  <c r="G1050" i="14"/>
  <c r="I1049" i="14"/>
  <c r="H1049" i="14"/>
  <c r="G1049" i="14"/>
  <c r="I1047" i="14"/>
  <c r="H1047" i="14"/>
  <c r="G1047" i="14"/>
  <c r="I1046" i="14"/>
  <c r="H1046" i="14"/>
  <c r="G1046" i="14"/>
  <c r="I1045" i="14"/>
  <c r="H1045" i="14"/>
  <c r="G1045" i="14"/>
  <c r="I1044" i="14"/>
  <c r="H1044" i="14"/>
  <c r="J1044" i="14" s="1"/>
  <c r="K1044" i="14" s="1"/>
  <c r="G1044" i="14"/>
  <c r="I1043" i="14"/>
  <c r="H1043" i="14"/>
  <c r="G1043" i="14"/>
  <c r="I1042" i="14"/>
  <c r="H1042" i="14"/>
  <c r="G1042" i="14"/>
  <c r="I1041" i="14"/>
  <c r="H1041" i="14"/>
  <c r="G1041" i="14"/>
  <c r="I1040" i="14"/>
  <c r="H1040" i="14"/>
  <c r="G1040" i="14"/>
  <c r="I1039" i="14"/>
  <c r="H1039" i="14"/>
  <c r="G1039" i="14"/>
  <c r="I1038" i="14"/>
  <c r="H1038" i="14"/>
  <c r="G1038" i="14"/>
  <c r="I1037" i="14"/>
  <c r="H1037" i="14"/>
  <c r="G1037" i="14"/>
  <c r="J1027" i="14"/>
  <c r="L1027" i="14" s="1"/>
  <c r="F1027" i="14"/>
  <c r="L1026" i="14"/>
  <c r="K1026" i="14"/>
  <c r="H1026" i="14"/>
  <c r="G1026" i="14"/>
  <c r="I1011" i="14"/>
  <c r="H1011" i="14"/>
  <c r="G1011" i="14"/>
  <c r="I1010" i="14"/>
  <c r="H1010" i="14"/>
  <c r="G1010" i="14"/>
  <c r="E1009" i="14"/>
  <c r="L1009" i="14" s="1"/>
  <c r="E1008" i="14"/>
  <c r="J1007" i="14"/>
  <c r="L1007" i="14" s="1"/>
  <c r="E1006" i="14"/>
  <c r="K1006" i="14" s="1"/>
  <c r="J1005" i="14"/>
  <c r="L1005" i="14" s="1"/>
  <c r="L1003" i="14"/>
  <c r="K1003" i="14"/>
  <c r="J1001" i="14"/>
  <c r="L1001" i="14" s="1"/>
  <c r="L1000" i="14"/>
  <c r="K1000" i="14"/>
  <c r="L999" i="14"/>
  <c r="L1002" i="14"/>
  <c r="J998" i="14"/>
  <c r="E998" i="14"/>
  <c r="J997" i="14"/>
  <c r="E997" i="14"/>
  <c r="L995" i="14"/>
  <c r="L993" i="14"/>
  <c r="L992" i="14"/>
  <c r="K992" i="14"/>
  <c r="L989" i="14"/>
  <c r="L991" i="14"/>
  <c r="K991" i="14"/>
  <c r="L988" i="14"/>
  <c r="L986" i="14"/>
  <c r="L985" i="14"/>
  <c r="K985" i="14"/>
  <c r="J984" i="14"/>
  <c r="L984" i="14" s="1"/>
  <c r="K983" i="14"/>
  <c r="L977" i="14"/>
  <c r="K977" i="14"/>
  <c r="E976" i="14"/>
  <c r="L976" i="14" s="1"/>
  <c r="E975" i="14"/>
  <c r="L975" i="14" s="1"/>
  <c r="L974" i="14"/>
  <c r="I972" i="14"/>
  <c r="H972" i="14"/>
  <c r="G972" i="14"/>
  <c r="I971" i="14"/>
  <c r="H971" i="14"/>
  <c r="G971" i="14"/>
  <c r="I970" i="14"/>
  <c r="H970" i="14"/>
  <c r="G970" i="14"/>
  <c r="I969" i="14"/>
  <c r="H969" i="14"/>
  <c r="G969" i="14"/>
  <c r="I968" i="14"/>
  <c r="H968" i="14"/>
  <c r="G968" i="14"/>
  <c r="I967" i="14"/>
  <c r="H967" i="14"/>
  <c r="G967" i="14"/>
  <c r="I966" i="14"/>
  <c r="H966" i="14"/>
  <c r="G966" i="14"/>
  <c r="I965" i="14"/>
  <c r="H965" i="14"/>
  <c r="G965" i="14"/>
  <c r="I964" i="14"/>
  <c r="H964" i="14"/>
  <c r="G964" i="14"/>
  <c r="E954" i="14"/>
  <c r="L954" i="14" s="1"/>
  <c r="I952" i="14"/>
  <c r="H952" i="14"/>
  <c r="G952" i="14"/>
  <c r="I951" i="14"/>
  <c r="H951" i="14"/>
  <c r="G951" i="14"/>
  <c r="I950" i="14"/>
  <c r="H950" i="14"/>
  <c r="G950" i="14"/>
  <c r="I949" i="14"/>
  <c r="H949" i="14"/>
  <c r="G949" i="14"/>
  <c r="I948" i="14"/>
  <c r="H948" i="14"/>
  <c r="G948" i="14"/>
  <c r="I947" i="14"/>
  <c r="H947" i="14"/>
  <c r="G947" i="14"/>
  <c r="I946" i="14"/>
  <c r="H946" i="14"/>
  <c r="G946" i="14"/>
  <c r="I945" i="14"/>
  <c r="H945" i="14"/>
  <c r="G945" i="14"/>
  <c r="I944" i="14"/>
  <c r="H944" i="14"/>
  <c r="G944" i="14"/>
  <c r="I943" i="14"/>
  <c r="I942" i="14"/>
  <c r="I941" i="14"/>
  <c r="J941" i="14" s="1"/>
  <c r="L941" i="14" s="1"/>
  <c r="I940" i="14"/>
  <c r="I939" i="14"/>
  <c r="H939" i="14"/>
  <c r="I938" i="14"/>
  <c r="I937" i="14"/>
  <c r="I936" i="14"/>
  <c r="H936" i="14"/>
  <c r="I935" i="14"/>
  <c r="J934" i="14"/>
  <c r="E934" i="14"/>
  <c r="J933" i="14"/>
  <c r="E932" i="14"/>
  <c r="L931" i="14"/>
  <c r="K931" i="14"/>
  <c r="E930" i="14"/>
  <c r="L930" i="14" s="1"/>
  <c r="J927" i="14"/>
  <c r="E926" i="14"/>
  <c r="K926" i="14" s="1"/>
  <c r="J925" i="14"/>
  <c r="E925" i="14"/>
  <c r="J924" i="14"/>
  <c r="E924" i="14"/>
  <c r="E923" i="14"/>
  <c r="L923" i="14" s="1"/>
  <c r="E922" i="14"/>
  <c r="E920" i="14"/>
  <c r="E910" i="14"/>
  <c r="L910" i="14" s="1"/>
  <c r="L908" i="14"/>
  <c r="K908" i="14"/>
  <c r="L907" i="14"/>
  <c r="I903" i="14"/>
  <c r="H903" i="14"/>
  <c r="J903" i="14" s="1"/>
  <c r="K903" i="14" s="1"/>
  <c r="G903" i="14"/>
  <c r="I902" i="14"/>
  <c r="H902" i="14"/>
  <c r="G902" i="14"/>
  <c r="I901" i="14"/>
  <c r="H901" i="14"/>
  <c r="G901" i="14"/>
  <c r="I900" i="14"/>
  <c r="G900" i="14"/>
  <c r="I899" i="14"/>
  <c r="H899" i="14"/>
  <c r="G899" i="14"/>
  <c r="I898" i="14"/>
  <c r="H898" i="14"/>
  <c r="G898" i="14"/>
  <c r="I897" i="14"/>
  <c r="H897" i="14"/>
  <c r="G897" i="14"/>
  <c r="I896" i="14"/>
  <c r="H896" i="14"/>
  <c r="G896" i="14"/>
  <c r="I895" i="14"/>
  <c r="H895" i="14"/>
  <c r="G895" i="14"/>
  <c r="I894" i="14"/>
  <c r="H894" i="14"/>
  <c r="G894" i="14"/>
  <c r="I893" i="14"/>
  <c r="H893" i="14"/>
  <c r="G893" i="14"/>
  <c r="I892" i="14"/>
  <c r="H892" i="14"/>
  <c r="J892" i="14" s="1"/>
  <c r="G892" i="14"/>
  <c r="I891" i="14"/>
  <c r="H891" i="14"/>
  <c r="G891" i="14"/>
  <c r="I890" i="14"/>
  <c r="H890" i="14"/>
  <c r="G890" i="14"/>
  <c r="I889" i="14"/>
  <c r="H889" i="14"/>
  <c r="G889" i="14"/>
  <c r="I888" i="14"/>
  <c r="H888" i="14"/>
  <c r="G888" i="14"/>
  <c r="I887" i="14"/>
  <c r="H887" i="14"/>
  <c r="G887" i="14"/>
  <c r="I886" i="14"/>
  <c r="H886" i="14"/>
  <c r="G886" i="14"/>
  <c r="I885" i="14"/>
  <c r="H885" i="14"/>
  <c r="G885" i="14"/>
  <c r="I884" i="14"/>
  <c r="H884" i="14"/>
  <c r="G884" i="14"/>
  <c r="I883" i="14"/>
  <c r="H883" i="14"/>
  <c r="G883" i="14"/>
  <c r="I882" i="14"/>
  <c r="H882" i="14"/>
  <c r="G882" i="14"/>
  <c r="I881" i="14"/>
  <c r="H881" i="14"/>
  <c r="J881" i="14" s="1"/>
  <c r="J909" i="14" s="1"/>
  <c r="L909" i="14" s="1"/>
  <c r="G881" i="14"/>
  <c r="I880" i="14"/>
  <c r="H880" i="14"/>
  <c r="G880" i="14"/>
  <c r="I879" i="14"/>
  <c r="H879" i="14"/>
  <c r="G879" i="14"/>
  <c r="I878" i="14"/>
  <c r="H878" i="14"/>
  <c r="G878" i="14"/>
  <c r="I877" i="14"/>
  <c r="H877" i="14"/>
  <c r="G877" i="14"/>
  <c r="I876" i="14"/>
  <c r="H876" i="14"/>
  <c r="J876" i="14" s="1"/>
  <c r="K876" i="14" s="1"/>
  <c r="G876" i="14"/>
  <c r="I875" i="14"/>
  <c r="H875" i="14"/>
  <c r="G875" i="14"/>
  <c r="I874" i="14"/>
  <c r="H874" i="14"/>
  <c r="G874" i="14"/>
  <c r="I873" i="14"/>
  <c r="H873" i="14"/>
  <c r="G873" i="14"/>
  <c r="I872" i="14"/>
  <c r="H872" i="14"/>
  <c r="G872" i="14"/>
  <c r="I871" i="14"/>
  <c r="H871" i="14"/>
  <c r="G871" i="14"/>
  <c r="I870" i="14"/>
  <c r="I869" i="14"/>
  <c r="G869" i="14"/>
  <c r="I868" i="14"/>
  <c r="I867" i="14"/>
  <c r="H867" i="14"/>
  <c r="I866" i="14"/>
  <c r="I865" i="14"/>
  <c r="H865" i="14"/>
  <c r="I864" i="14"/>
  <c r="H864" i="14"/>
  <c r="I863" i="14"/>
  <c r="I862" i="14"/>
  <c r="H862" i="14"/>
  <c r="I861" i="14"/>
  <c r="H861" i="14"/>
  <c r="J861" i="14" s="1"/>
  <c r="L861" i="14" s="1"/>
  <c r="G861" i="14"/>
  <c r="I860" i="14"/>
  <c r="H860" i="14"/>
  <c r="G860" i="14"/>
  <c r="I859" i="14"/>
  <c r="H859" i="14"/>
  <c r="G859" i="14"/>
  <c r="I858" i="14"/>
  <c r="H858" i="14"/>
  <c r="G858" i="14"/>
  <c r="I857" i="14"/>
  <c r="H857" i="14"/>
  <c r="G857" i="14"/>
  <c r="I856" i="14"/>
  <c r="H856" i="14"/>
  <c r="G856" i="14"/>
  <c r="I855" i="14"/>
  <c r="H855" i="14"/>
  <c r="G855" i="14"/>
  <c r="I854" i="14"/>
  <c r="H854" i="14"/>
  <c r="G854" i="14"/>
  <c r="I853" i="14"/>
  <c r="H853" i="14"/>
  <c r="G853" i="14"/>
  <c r="I852" i="14"/>
  <c r="H852" i="14"/>
  <c r="G852" i="14"/>
  <c r="I851" i="14"/>
  <c r="H851" i="14"/>
  <c r="G851" i="14"/>
  <c r="I850" i="14"/>
  <c r="H850" i="14"/>
  <c r="G850" i="14"/>
  <c r="I849" i="14"/>
  <c r="H849" i="14"/>
  <c r="G849" i="14"/>
  <c r="I848" i="14"/>
  <c r="H848" i="14"/>
  <c r="G848" i="14"/>
  <c r="I847" i="14"/>
  <c r="H847" i="14"/>
  <c r="G847" i="14"/>
  <c r="I846" i="14"/>
  <c r="H846" i="14"/>
  <c r="G846" i="14"/>
  <c r="I845" i="14"/>
  <c r="H845" i="14"/>
  <c r="G845" i="14"/>
  <c r="I844" i="14"/>
  <c r="H844" i="14"/>
  <c r="G844" i="14"/>
  <c r="I843" i="14"/>
  <c r="I842" i="14"/>
  <c r="G842" i="14"/>
  <c r="I841" i="14"/>
  <c r="I840" i="14"/>
  <c r="H840" i="14"/>
  <c r="I839" i="14"/>
  <c r="H839" i="14"/>
  <c r="I838" i="14"/>
  <c r="I837" i="14"/>
  <c r="I836" i="14"/>
  <c r="H836" i="14"/>
  <c r="I835" i="14"/>
  <c r="I834" i="14"/>
  <c r="H834" i="14"/>
  <c r="G834" i="14"/>
  <c r="I833" i="14"/>
  <c r="H833" i="14"/>
  <c r="G833" i="14"/>
  <c r="I832" i="14"/>
  <c r="H832" i="14"/>
  <c r="G832" i="14"/>
  <c r="I831" i="14"/>
  <c r="H831" i="14"/>
  <c r="G831" i="14"/>
  <c r="I830" i="14"/>
  <c r="H830" i="14"/>
  <c r="G830" i="14"/>
  <c r="I829" i="14"/>
  <c r="H829" i="14"/>
  <c r="G829" i="14"/>
  <c r="I828" i="14"/>
  <c r="H828" i="14"/>
  <c r="G828" i="14"/>
  <c r="I827" i="14"/>
  <c r="H827" i="14"/>
  <c r="G827" i="14"/>
  <c r="I826" i="14"/>
  <c r="H826" i="14"/>
  <c r="G826" i="14"/>
  <c r="I825" i="14"/>
  <c r="H825" i="14"/>
  <c r="G825" i="14"/>
  <c r="I824" i="14"/>
  <c r="H824" i="14"/>
  <c r="G824" i="14"/>
  <c r="I823" i="14"/>
  <c r="H823" i="14"/>
  <c r="G823" i="14"/>
  <c r="I822" i="14"/>
  <c r="H822" i="14"/>
  <c r="G822" i="14"/>
  <c r="I821" i="14"/>
  <c r="H821" i="14"/>
  <c r="G821" i="14"/>
  <c r="I820" i="14"/>
  <c r="H820" i="14"/>
  <c r="G820" i="14"/>
  <c r="I819" i="14"/>
  <c r="H819" i="14"/>
  <c r="J819" i="14" s="1"/>
  <c r="K819" i="14" s="1"/>
  <c r="G819" i="14"/>
  <c r="I818" i="14"/>
  <c r="H818" i="14"/>
  <c r="G818" i="14"/>
  <c r="I817" i="14"/>
  <c r="H817" i="14"/>
  <c r="G817" i="14"/>
  <c r="I816" i="14"/>
  <c r="H816" i="14"/>
  <c r="G816" i="14"/>
  <c r="I815" i="14"/>
  <c r="H815" i="14"/>
  <c r="G815" i="14"/>
  <c r="I814" i="14"/>
  <c r="H814" i="14"/>
  <c r="G814" i="14"/>
  <c r="I813" i="14"/>
  <c r="H813" i="14"/>
  <c r="G813" i="14"/>
  <c r="I812" i="14"/>
  <c r="H812" i="14"/>
  <c r="G812" i="14"/>
  <c r="I811" i="14"/>
  <c r="H811" i="14"/>
  <c r="G811" i="14"/>
  <c r="I810" i="14"/>
  <c r="H810" i="14"/>
  <c r="G810" i="14"/>
  <c r="I809" i="14"/>
  <c r="H809" i="14"/>
  <c r="G809" i="14"/>
  <c r="I799" i="14"/>
  <c r="H799" i="14"/>
  <c r="J799" i="14" s="1"/>
  <c r="G799" i="14"/>
  <c r="I798" i="14"/>
  <c r="H798" i="14"/>
  <c r="G798" i="14"/>
  <c r="I808" i="14"/>
  <c r="H808" i="14"/>
  <c r="G808" i="14"/>
  <c r="I807" i="14"/>
  <c r="H807" i="14"/>
  <c r="G807" i="14"/>
  <c r="I806" i="14"/>
  <c r="H806" i="14"/>
  <c r="G806" i="14"/>
  <c r="I805" i="14"/>
  <c r="H805" i="14"/>
  <c r="G805" i="14"/>
  <c r="I804" i="14"/>
  <c r="H804" i="14"/>
  <c r="G804" i="14"/>
  <c r="I803" i="14"/>
  <c r="H803" i="14"/>
  <c r="G803" i="14"/>
  <c r="I802" i="14"/>
  <c r="H802" i="14"/>
  <c r="G802" i="14"/>
  <c r="I801" i="14"/>
  <c r="H801" i="14"/>
  <c r="G801" i="14"/>
  <c r="I800" i="14"/>
  <c r="H800" i="14"/>
  <c r="G800" i="14"/>
  <c r="I797" i="14"/>
  <c r="H797" i="14"/>
  <c r="G797" i="14"/>
  <c r="I796" i="14"/>
  <c r="H796" i="14"/>
  <c r="G796" i="14"/>
  <c r="I795" i="14"/>
  <c r="H795" i="14"/>
  <c r="G795" i="14"/>
  <c r="I794" i="14"/>
  <c r="H794" i="14"/>
  <c r="G794" i="14"/>
  <c r="I793" i="14"/>
  <c r="H793" i="14"/>
  <c r="G793" i="14"/>
  <c r="I792" i="14"/>
  <c r="H792" i="14"/>
  <c r="G792" i="14"/>
  <c r="I791" i="14"/>
  <c r="H791" i="14"/>
  <c r="G791" i="14"/>
  <c r="I790" i="14"/>
  <c r="H790" i="14"/>
  <c r="G790" i="14"/>
  <c r="I789" i="14"/>
  <c r="H789" i="14"/>
  <c r="G789" i="14"/>
  <c r="I788" i="14"/>
  <c r="H788" i="14"/>
  <c r="I787" i="14"/>
  <c r="I786" i="14"/>
  <c r="G786" i="14"/>
  <c r="I785" i="14"/>
  <c r="I784" i="14"/>
  <c r="I783" i="14"/>
  <c r="I782" i="14"/>
  <c r="I781" i="14"/>
  <c r="H781" i="14"/>
  <c r="I780" i="14"/>
  <c r="L779" i="14"/>
  <c r="I778" i="14"/>
  <c r="H778" i="14"/>
  <c r="G778" i="14"/>
  <c r="I777" i="14"/>
  <c r="H777" i="14"/>
  <c r="G777" i="14"/>
  <c r="I776" i="14"/>
  <c r="H776" i="14"/>
  <c r="J776" i="14" s="1"/>
  <c r="G776" i="14"/>
  <c r="I775" i="14"/>
  <c r="H775" i="14"/>
  <c r="G775" i="14"/>
  <c r="I774" i="14"/>
  <c r="H774" i="14"/>
  <c r="G774" i="14"/>
  <c r="I773" i="14"/>
  <c r="H773" i="14"/>
  <c r="G773" i="14"/>
  <c r="I772" i="14"/>
  <c r="H772" i="14"/>
  <c r="G772" i="14"/>
  <c r="I771" i="14"/>
  <c r="H771" i="14"/>
  <c r="G771" i="14"/>
  <c r="I770" i="14"/>
  <c r="H770" i="14"/>
  <c r="G770" i="14"/>
  <c r="I769" i="14"/>
  <c r="H769" i="14"/>
  <c r="G769" i="14"/>
  <c r="I768" i="14"/>
  <c r="H768" i="14"/>
  <c r="G768" i="14"/>
  <c r="I767" i="14"/>
  <c r="H767" i="14"/>
  <c r="G767" i="14"/>
  <c r="I766" i="14"/>
  <c r="H766" i="14"/>
  <c r="G766" i="14"/>
  <c r="I765" i="14"/>
  <c r="H765" i="14"/>
  <c r="J765" i="14" s="1"/>
  <c r="G765" i="14"/>
  <c r="I764" i="14"/>
  <c r="H764" i="14"/>
  <c r="G764" i="14"/>
  <c r="I763" i="14"/>
  <c r="H763" i="14"/>
  <c r="G763" i="14"/>
  <c r="I762" i="14"/>
  <c r="H762" i="14"/>
  <c r="G762" i="14"/>
  <c r="I761" i="14"/>
  <c r="H761" i="14"/>
  <c r="G761" i="14"/>
  <c r="I760" i="14"/>
  <c r="H760" i="14"/>
  <c r="G760" i="14"/>
  <c r="I759" i="14"/>
  <c r="I758" i="14"/>
  <c r="G758" i="14"/>
  <c r="I757" i="14"/>
  <c r="I756" i="14"/>
  <c r="H756" i="14"/>
  <c r="I755" i="14"/>
  <c r="H755" i="14"/>
  <c r="I754" i="14"/>
  <c r="I753" i="14"/>
  <c r="I752" i="14"/>
  <c r="H752" i="14"/>
  <c r="I751" i="14"/>
  <c r="I750" i="14"/>
  <c r="H750" i="14"/>
  <c r="G750" i="14"/>
  <c r="I749" i="14"/>
  <c r="H749" i="14"/>
  <c r="G749" i="14"/>
  <c r="I748" i="14"/>
  <c r="H748" i="14"/>
  <c r="G748" i="14"/>
  <c r="I747" i="14"/>
  <c r="H747" i="14"/>
  <c r="G747" i="14"/>
  <c r="I746" i="14"/>
  <c r="H746" i="14"/>
  <c r="G746" i="14"/>
  <c r="I745" i="14"/>
  <c r="H745" i="14"/>
  <c r="G745" i="14"/>
  <c r="I744" i="14"/>
  <c r="H744" i="14"/>
  <c r="G744" i="14"/>
  <c r="I743" i="14"/>
  <c r="H743" i="14"/>
  <c r="G743" i="14"/>
  <c r="I742" i="14"/>
  <c r="H742" i="14"/>
  <c r="G742" i="14"/>
  <c r="I741" i="14"/>
  <c r="I740" i="14"/>
  <c r="G740" i="14"/>
  <c r="I739" i="14"/>
  <c r="I738" i="14"/>
  <c r="H738" i="14"/>
  <c r="I737" i="14"/>
  <c r="H737" i="14"/>
  <c r="I736" i="14"/>
  <c r="I735" i="14"/>
  <c r="I734" i="14"/>
  <c r="H734" i="14"/>
  <c r="I733" i="14"/>
  <c r="I732" i="14"/>
  <c r="H732" i="14"/>
  <c r="G732" i="14"/>
  <c r="I731" i="14"/>
  <c r="H731" i="14"/>
  <c r="G731" i="14"/>
  <c r="I730" i="14"/>
  <c r="H730" i="14"/>
  <c r="G730" i="14"/>
  <c r="I729" i="14"/>
  <c r="H729" i="14"/>
  <c r="J729" i="14" s="1"/>
  <c r="K729" i="14" s="1"/>
  <c r="G729" i="14"/>
  <c r="I728" i="14"/>
  <c r="H728" i="14"/>
  <c r="G728" i="14"/>
  <c r="I727" i="14"/>
  <c r="H727" i="14"/>
  <c r="G727" i="14"/>
  <c r="I726" i="14"/>
  <c r="H726" i="14"/>
  <c r="G726" i="14"/>
  <c r="I725" i="14"/>
  <c r="H725" i="14"/>
  <c r="G725" i="14"/>
  <c r="I724" i="14"/>
  <c r="H724" i="14"/>
  <c r="G724" i="14"/>
  <c r="I723" i="14"/>
  <c r="H723" i="14"/>
  <c r="G723" i="14"/>
  <c r="I722" i="14"/>
  <c r="H722" i="14"/>
  <c r="G722" i="14"/>
  <c r="I721" i="14"/>
  <c r="H721" i="14"/>
  <c r="G721" i="14"/>
  <c r="I720" i="14"/>
  <c r="H720" i="14"/>
  <c r="G720" i="14"/>
  <c r="I719" i="14"/>
  <c r="H719" i="14"/>
  <c r="G719" i="14"/>
  <c r="I718" i="14"/>
  <c r="H718" i="14"/>
  <c r="G718" i="14"/>
  <c r="I717" i="14"/>
  <c r="H717" i="14"/>
  <c r="G717" i="14"/>
  <c r="I716" i="14"/>
  <c r="H716" i="14"/>
  <c r="G716" i="14"/>
  <c r="I715" i="14"/>
  <c r="H715" i="14"/>
  <c r="G715" i="14"/>
  <c r="I714" i="14"/>
  <c r="H714" i="14"/>
  <c r="G714" i="14"/>
  <c r="I713" i="14"/>
  <c r="H713" i="14"/>
  <c r="G713" i="14"/>
  <c r="I712" i="14"/>
  <c r="I711" i="14"/>
  <c r="I710" i="14"/>
  <c r="G710" i="14"/>
  <c r="I709" i="14"/>
  <c r="I707" i="14"/>
  <c r="I706" i="14"/>
  <c r="I705" i="14"/>
  <c r="H705" i="14"/>
  <c r="I704" i="14"/>
  <c r="I703" i="14"/>
  <c r="H703" i="14"/>
  <c r="G703" i="14"/>
  <c r="I702" i="14"/>
  <c r="H702" i="14"/>
  <c r="G702" i="14"/>
  <c r="I701" i="14"/>
  <c r="H701" i="14"/>
  <c r="G701" i="14"/>
  <c r="I700" i="14"/>
  <c r="H700" i="14"/>
  <c r="G700" i="14"/>
  <c r="I699" i="14"/>
  <c r="H699" i="14"/>
  <c r="G699" i="14"/>
  <c r="I698" i="14"/>
  <c r="H698" i="14"/>
  <c r="G698" i="14"/>
  <c r="I697" i="14"/>
  <c r="H697" i="14"/>
  <c r="G697" i="14"/>
  <c r="I696" i="14"/>
  <c r="H696" i="14"/>
  <c r="G696" i="14"/>
  <c r="I695" i="14"/>
  <c r="H695" i="14"/>
  <c r="G695" i="14"/>
  <c r="I694" i="14"/>
  <c r="I693" i="14"/>
  <c r="G693" i="14"/>
  <c r="I692" i="14"/>
  <c r="I690" i="14"/>
  <c r="I689" i="14"/>
  <c r="I688" i="14"/>
  <c r="I687" i="14"/>
  <c r="H687" i="14"/>
  <c r="I686" i="14"/>
  <c r="I685" i="14"/>
  <c r="H685" i="14"/>
  <c r="G685" i="14"/>
  <c r="I684" i="14"/>
  <c r="H684" i="14"/>
  <c r="G684" i="14"/>
  <c r="I683" i="14"/>
  <c r="H683" i="14"/>
  <c r="G683" i="14"/>
  <c r="I682" i="14"/>
  <c r="H682" i="14"/>
  <c r="G682" i="14"/>
  <c r="I681" i="14"/>
  <c r="H681" i="14"/>
  <c r="G681" i="14"/>
  <c r="I680" i="14"/>
  <c r="H680" i="14"/>
  <c r="G680" i="14"/>
  <c r="I679" i="14"/>
  <c r="H679" i="14"/>
  <c r="G679" i="14"/>
  <c r="I678" i="14"/>
  <c r="H678" i="14"/>
  <c r="G678" i="14"/>
  <c r="I677" i="14"/>
  <c r="H677" i="14"/>
  <c r="G677" i="14"/>
  <c r="I676" i="14"/>
  <c r="I675" i="14"/>
  <c r="G675" i="14"/>
  <c r="I674" i="14"/>
  <c r="I673" i="14"/>
  <c r="H673" i="14"/>
  <c r="I672" i="14"/>
  <c r="H672" i="14"/>
  <c r="I671" i="14"/>
  <c r="I670" i="14"/>
  <c r="I669" i="14"/>
  <c r="H669" i="14"/>
  <c r="I668" i="14"/>
  <c r="I667" i="14"/>
  <c r="H667" i="14"/>
  <c r="G667" i="14"/>
  <c r="I666" i="14"/>
  <c r="H666" i="14"/>
  <c r="G666" i="14"/>
  <c r="I665" i="14"/>
  <c r="H665" i="14"/>
  <c r="G665" i="14"/>
  <c r="I664" i="14"/>
  <c r="H664" i="14"/>
  <c r="G664" i="14"/>
  <c r="I663" i="14"/>
  <c r="H663" i="14"/>
  <c r="G663" i="14"/>
  <c r="I662" i="14"/>
  <c r="H662" i="14"/>
  <c r="G662" i="14"/>
  <c r="I661" i="14"/>
  <c r="H661" i="14"/>
  <c r="G661" i="14"/>
  <c r="I660" i="14"/>
  <c r="H660" i="14"/>
  <c r="G660" i="14"/>
  <c r="I659" i="14"/>
  <c r="H659" i="14"/>
  <c r="G659" i="14"/>
  <c r="I658" i="14"/>
  <c r="I657" i="14"/>
  <c r="G657" i="14"/>
  <c r="I656" i="14"/>
  <c r="I654" i="14"/>
  <c r="I653" i="14"/>
  <c r="I652" i="14"/>
  <c r="I651" i="14"/>
  <c r="H651" i="14"/>
  <c r="I650" i="14"/>
  <c r="I649" i="14"/>
  <c r="H649" i="14"/>
  <c r="G649" i="14"/>
  <c r="I648" i="14"/>
  <c r="H648" i="14"/>
  <c r="G648" i="14"/>
  <c r="I647" i="14"/>
  <c r="H647" i="14"/>
  <c r="G647" i="14"/>
  <c r="I646" i="14"/>
  <c r="H646" i="14"/>
  <c r="G646" i="14"/>
  <c r="I645" i="14"/>
  <c r="H645" i="14"/>
  <c r="G645" i="14"/>
  <c r="I644" i="14"/>
  <c r="H644" i="14"/>
  <c r="G644" i="14"/>
  <c r="I643" i="14"/>
  <c r="H643" i="14"/>
  <c r="G643" i="14"/>
  <c r="I642" i="14"/>
  <c r="H642" i="14"/>
  <c r="G642" i="14"/>
  <c r="I641" i="14"/>
  <c r="H641" i="14"/>
  <c r="G641" i="14"/>
  <c r="I640" i="14"/>
  <c r="H640" i="14"/>
  <c r="G640" i="14"/>
  <c r="I639" i="14"/>
  <c r="H639" i="14"/>
  <c r="G639" i="14"/>
  <c r="I638" i="14"/>
  <c r="H638" i="14"/>
  <c r="G638" i="14"/>
  <c r="I637" i="14"/>
  <c r="H637" i="14"/>
  <c r="G637" i="14"/>
  <c r="I636" i="14"/>
  <c r="H636" i="14"/>
  <c r="G636" i="14"/>
  <c r="I635" i="14"/>
  <c r="H635" i="14"/>
  <c r="G635" i="14"/>
  <c r="I634" i="14"/>
  <c r="H634" i="14"/>
  <c r="G634" i="14"/>
  <c r="I633" i="14"/>
  <c r="H633" i="14"/>
  <c r="J633" i="14" s="1"/>
  <c r="K633" i="14" s="1"/>
  <c r="G633" i="14"/>
  <c r="I632" i="14"/>
  <c r="H632" i="14"/>
  <c r="G632" i="14"/>
  <c r="I631" i="14"/>
  <c r="H631" i="14"/>
  <c r="G631" i="14"/>
  <c r="I630" i="14"/>
  <c r="H630" i="14"/>
  <c r="G630" i="14"/>
  <c r="I629" i="14"/>
  <c r="H629" i="14"/>
  <c r="G629" i="14"/>
  <c r="I628" i="14"/>
  <c r="H628" i="14"/>
  <c r="G628" i="14"/>
  <c r="I627" i="14"/>
  <c r="H627" i="14"/>
  <c r="G627" i="14"/>
  <c r="I626" i="14"/>
  <c r="H626" i="14"/>
  <c r="G626" i="14"/>
  <c r="I625" i="14"/>
  <c r="H625" i="14"/>
  <c r="G625" i="14"/>
  <c r="I624" i="14"/>
  <c r="H624" i="14"/>
  <c r="G624" i="14"/>
  <c r="I623" i="14"/>
  <c r="H623" i="14"/>
  <c r="G623" i="14"/>
  <c r="I622" i="14"/>
  <c r="I621" i="14"/>
  <c r="G621" i="14"/>
  <c r="I620" i="14"/>
  <c r="I619" i="14"/>
  <c r="H619" i="14"/>
  <c r="I618" i="14"/>
  <c r="H618" i="14"/>
  <c r="I617" i="14"/>
  <c r="K616" i="14"/>
  <c r="I616" i="14"/>
  <c r="I615" i="14"/>
  <c r="H615" i="14"/>
  <c r="I614" i="14"/>
  <c r="I613" i="14"/>
  <c r="H613" i="14"/>
  <c r="G613" i="14"/>
  <c r="I612" i="14"/>
  <c r="H612" i="14"/>
  <c r="G612" i="14"/>
  <c r="I611" i="14"/>
  <c r="H611" i="14"/>
  <c r="G611" i="14"/>
  <c r="I610" i="14"/>
  <c r="H610" i="14"/>
  <c r="G610" i="14"/>
  <c r="I609" i="14"/>
  <c r="H609" i="14"/>
  <c r="G609" i="14"/>
  <c r="I608" i="14"/>
  <c r="H608" i="14"/>
  <c r="G608" i="14"/>
  <c r="I607" i="14"/>
  <c r="H607" i="14"/>
  <c r="J607" i="14" s="1"/>
  <c r="K607" i="14" s="1"/>
  <c r="G607" i="14"/>
  <c r="I606" i="14"/>
  <c r="H606" i="14"/>
  <c r="G606" i="14"/>
  <c r="I605" i="14"/>
  <c r="H605" i="14"/>
  <c r="G605" i="14"/>
  <c r="I604" i="14"/>
  <c r="H604" i="14"/>
  <c r="G604" i="14"/>
  <c r="I603" i="14"/>
  <c r="I602" i="14"/>
  <c r="G602" i="14"/>
  <c r="I601" i="14"/>
  <c r="I600" i="14"/>
  <c r="H600" i="14"/>
  <c r="I599" i="14"/>
  <c r="H599" i="14"/>
  <c r="I598" i="14"/>
  <c r="I597" i="14"/>
  <c r="I596" i="14"/>
  <c r="H596" i="14"/>
  <c r="I595" i="14"/>
  <c r="I594" i="14"/>
  <c r="H594" i="14"/>
  <c r="G594" i="14"/>
  <c r="I593" i="14"/>
  <c r="H593" i="14"/>
  <c r="G593" i="14"/>
  <c r="I592" i="14"/>
  <c r="H592" i="14"/>
  <c r="G592" i="14"/>
  <c r="I591" i="14"/>
  <c r="H591" i="14"/>
  <c r="G591" i="14"/>
  <c r="I590" i="14"/>
  <c r="H590" i="14"/>
  <c r="G590" i="14"/>
  <c r="I589" i="14"/>
  <c r="H589" i="14"/>
  <c r="G589" i="14"/>
  <c r="I588" i="14"/>
  <c r="H588" i="14"/>
  <c r="G588" i="14"/>
  <c r="I587" i="14"/>
  <c r="H587" i="14"/>
  <c r="G587" i="14"/>
  <c r="I586" i="14"/>
  <c r="H586" i="14"/>
  <c r="G586" i="14"/>
  <c r="I585" i="14"/>
  <c r="I584" i="14"/>
  <c r="G584" i="14"/>
  <c r="I583" i="14"/>
  <c r="I582" i="14"/>
  <c r="H582" i="14"/>
  <c r="I581" i="14"/>
  <c r="H581" i="14"/>
  <c r="I580" i="14"/>
  <c r="I579" i="14"/>
  <c r="I578" i="14"/>
  <c r="H578" i="14"/>
  <c r="I577" i="14"/>
  <c r="I576" i="14"/>
  <c r="H576" i="14"/>
  <c r="G576" i="14"/>
  <c r="I575" i="14"/>
  <c r="H575" i="14"/>
  <c r="G575" i="14"/>
  <c r="I574" i="14"/>
  <c r="H574" i="14"/>
  <c r="G574" i="14"/>
  <c r="I573" i="14"/>
  <c r="H573" i="14"/>
  <c r="G573" i="14"/>
  <c r="I572" i="14"/>
  <c r="H572" i="14"/>
  <c r="G572" i="14"/>
  <c r="I571" i="14"/>
  <c r="H571" i="14"/>
  <c r="J571" i="14" s="1"/>
  <c r="K571" i="14" s="1"/>
  <c r="G571" i="14"/>
  <c r="I570" i="14"/>
  <c r="H570" i="14"/>
  <c r="G570" i="14"/>
  <c r="I569" i="14"/>
  <c r="H569" i="14"/>
  <c r="G569" i="14"/>
  <c r="I568" i="14"/>
  <c r="H568" i="14"/>
  <c r="G568" i="14"/>
  <c r="I567" i="14"/>
  <c r="H567" i="14"/>
  <c r="G567" i="14"/>
  <c r="I566" i="14"/>
  <c r="H566" i="14"/>
  <c r="J566" i="14" s="1"/>
  <c r="L566" i="14" s="1"/>
  <c r="G566" i="14"/>
  <c r="I565" i="14"/>
  <c r="H565" i="14"/>
  <c r="G565" i="14"/>
  <c r="I564" i="14"/>
  <c r="H564" i="14"/>
  <c r="G564" i="14"/>
  <c r="I563" i="14"/>
  <c r="H563" i="14"/>
  <c r="G563" i="14"/>
  <c r="I562" i="14"/>
  <c r="H562" i="14"/>
  <c r="G562" i="14"/>
  <c r="I561" i="14"/>
  <c r="H561" i="14"/>
  <c r="G561" i="14"/>
  <c r="I560" i="14"/>
  <c r="H560" i="14"/>
  <c r="G560" i="14"/>
  <c r="I559" i="14"/>
  <c r="H559" i="14"/>
  <c r="G559" i="14"/>
  <c r="I558" i="14"/>
  <c r="H558" i="14"/>
  <c r="G558" i="14"/>
  <c r="I557" i="14"/>
  <c r="I556" i="14"/>
  <c r="G556" i="14"/>
  <c r="I555" i="14"/>
  <c r="I554" i="14"/>
  <c r="H554" i="14"/>
  <c r="I553" i="14"/>
  <c r="H553" i="14"/>
  <c r="I552" i="14"/>
  <c r="I551" i="14"/>
  <c r="I550" i="14"/>
  <c r="H550" i="14"/>
  <c r="I549" i="14"/>
  <c r="I548" i="14"/>
  <c r="I547" i="14"/>
  <c r="G547" i="14"/>
  <c r="I546" i="14"/>
  <c r="I545" i="14"/>
  <c r="I543" i="14"/>
  <c r="I542" i="14"/>
  <c r="I541" i="14"/>
  <c r="H541" i="14"/>
  <c r="I540" i="14"/>
  <c r="I539" i="14"/>
  <c r="H539" i="14"/>
  <c r="G539" i="14"/>
  <c r="I538" i="14"/>
  <c r="H538" i="14"/>
  <c r="G538" i="14"/>
  <c r="I537" i="14"/>
  <c r="H537" i="14"/>
  <c r="G537" i="14"/>
  <c r="I536" i="14"/>
  <c r="H536" i="14"/>
  <c r="G536" i="14"/>
  <c r="I535" i="14"/>
  <c r="H535" i="14"/>
  <c r="G535" i="14"/>
  <c r="I534" i="14"/>
  <c r="H534" i="14"/>
  <c r="G534" i="14"/>
  <c r="I533" i="14"/>
  <c r="H533" i="14"/>
  <c r="G533" i="14"/>
  <c r="I532" i="14"/>
  <c r="H532" i="14"/>
  <c r="G532" i="14"/>
  <c r="I531" i="14"/>
  <c r="H531" i="14"/>
  <c r="G531" i="14"/>
  <c r="I530" i="14"/>
  <c r="H530" i="14"/>
  <c r="G530" i="14"/>
  <c r="I529" i="14"/>
  <c r="H529" i="14"/>
  <c r="G529" i="14"/>
  <c r="I528" i="14"/>
  <c r="H528" i="14"/>
  <c r="G528" i="14"/>
  <c r="I527" i="14"/>
  <c r="H527" i="14"/>
  <c r="G527" i="14"/>
  <c r="I526" i="14"/>
  <c r="H526" i="14"/>
  <c r="G526" i="14"/>
  <c r="I525" i="14"/>
  <c r="H525" i="14"/>
  <c r="G525" i="14"/>
  <c r="I524" i="14"/>
  <c r="H524" i="14"/>
  <c r="G524" i="14"/>
  <c r="I523" i="14"/>
  <c r="H523" i="14"/>
  <c r="G523" i="14"/>
  <c r="I522" i="14"/>
  <c r="H522" i="14"/>
  <c r="G522" i="14"/>
  <c r="I521" i="14"/>
  <c r="H521" i="14"/>
  <c r="G521" i="14"/>
  <c r="I520" i="14"/>
  <c r="H520" i="14"/>
  <c r="G520" i="14"/>
  <c r="I519" i="14"/>
  <c r="H519" i="14"/>
  <c r="G519" i="14"/>
  <c r="I518" i="14"/>
  <c r="H518" i="14"/>
  <c r="J518" i="14" s="1"/>
  <c r="K518" i="14" s="1"/>
  <c r="G518" i="14"/>
  <c r="I517" i="14"/>
  <c r="H517" i="14"/>
  <c r="G517" i="14"/>
  <c r="I516" i="14"/>
  <c r="H516" i="14"/>
  <c r="G516" i="14"/>
  <c r="I515" i="14"/>
  <c r="H515" i="14"/>
  <c r="G515" i="14"/>
  <c r="I514" i="14"/>
  <c r="H514" i="14"/>
  <c r="G514" i="14"/>
  <c r="I513" i="14"/>
  <c r="H513" i="14"/>
  <c r="J513" i="14" s="1"/>
  <c r="K513" i="14" s="1"/>
  <c r="G513" i="14"/>
  <c r="I512" i="14"/>
  <c r="H512" i="14"/>
  <c r="G512" i="14"/>
  <c r="I511" i="14"/>
  <c r="H511" i="14"/>
  <c r="G511" i="14"/>
  <c r="I510" i="14"/>
  <c r="H510" i="14"/>
  <c r="G510" i="14"/>
  <c r="I509" i="14"/>
  <c r="H509" i="14"/>
  <c r="G509" i="14"/>
  <c r="I508" i="14"/>
  <c r="H508" i="14"/>
  <c r="G508" i="14"/>
  <c r="I507" i="14"/>
  <c r="H507" i="14"/>
  <c r="G507" i="14"/>
  <c r="I506" i="14"/>
  <c r="H506" i="14"/>
  <c r="G506" i="14"/>
  <c r="I505" i="14"/>
  <c r="H505" i="14"/>
  <c r="G505" i="14"/>
  <c r="I504" i="14"/>
  <c r="H504" i="14"/>
  <c r="G504" i="14"/>
  <c r="I503" i="14"/>
  <c r="I502" i="14"/>
  <c r="J502" i="14" s="1"/>
  <c r="L502" i="14" s="1"/>
  <c r="I501" i="14"/>
  <c r="J501" i="14" s="1"/>
  <c r="L501" i="14" s="1"/>
  <c r="I500" i="14"/>
  <c r="I499" i="14"/>
  <c r="J499" i="14" s="1"/>
  <c r="L499" i="14" s="1"/>
  <c r="I498" i="14"/>
  <c r="I497" i="14"/>
  <c r="H497" i="14"/>
  <c r="I496" i="14"/>
  <c r="H496" i="14"/>
  <c r="I495" i="14"/>
  <c r="I494" i="14"/>
  <c r="H494" i="14"/>
  <c r="G494" i="14"/>
  <c r="I493" i="14"/>
  <c r="H493" i="14"/>
  <c r="G493" i="14"/>
  <c r="I491" i="14"/>
  <c r="H491" i="14"/>
  <c r="G491" i="14"/>
  <c r="I492" i="14"/>
  <c r="J492" i="14" s="1"/>
  <c r="K492" i="14" s="1"/>
  <c r="G492" i="14"/>
  <c r="I490" i="14"/>
  <c r="H490" i="14"/>
  <c r="G490" i="14"/>
  <c r="I489" i="14"/>
  <c r="H489" i="14"/>
  <c r="G489" i="14"/>
  <c r="I488" i="14"/>
  <c r="G488" i="14"/>
  <c r="I487" i="14"/>
  <c r="I486" i="14"/>
  <c r="G486" i="14"/>
  <c r="I485" i="14"/>
  <c r="H485" i="14"/>
  <c r="G485" i="14"/>
  <c r="I484" i="14"/>
  <c r="I483" i="14"/>
  <c r="H483" i="14"/>
  <c r="G483" i="14"/>
  <c r="I482" i="14"/>
  <c r="G482" i="14"/>
  <c r="I481" i="14"/>
  <c r="G481" i="14"/>
  <c r="I480" i="14"/>
  <c r="H480" i="14"/>
  <c r="G480" i="14"/>
  <c r="I479" i="14"/>
  <c r="H479" i="14"/>
  <c r="G479" i="14"/>
  <c r="I478" i="14"/>
  <c r="H478" i="14"/>
  <c r="G478" i="14"/>
  <c r="I477" i="14"/>
  <c r="H477" i="14"/>
  <c r="G477" i="14"/>
  <c r="I476" i="14"/>
  <c r="H476" i="14"/>
  <c r="G476" i="14"/>
  <c r="K475" i="14"/>
  <c r="I475" i="14"/>
  <c r="H475" i="14"/>
  <c r="G475" i="14"/>
  <c r="K474" i="14"/>
  <c r="I474" i="14"/>
  <c r="H474" i="14"/>
  <c r="G474" i="14"/>
  <c r="I473" i="14"/>
  <c r="G473" i="14"/>
  <c r="I472" i="14"/>
  <c r="I471" i="14"/>
  <c r="G471" i="14"/>
  <c r="I470" i="14"/>
  <c r="H470" i="14"/>
  <c r="G470" i="14"/>
  <c r="I469" i="14"/>
  <c r="I468" i="14"/>
  <c r="G468" i="14"/>
  <c r="I467" i="14"/>
  <c r="H467" i="14"/>
  <c r="G467" i="14"/>
  <c r="I466" i="14"/>
  <c r="H466" i="14"/>
  <c r="G466" i="14"/>
  <c r="I465" i="14"/>
  <c r="G465" i="14"/>
  <c r="I464" i="14"/>
  <c r="H464" i="14"/>
  <c r="G464" i="14"/>
  <c r="I463" i="14"/>
  <c r="H463" i="14"/>
  <c r="G463" i="14"/>
  <c r="I462" i="14"/>
  <c r="H462" i="14"/>
  <c r="G462" i="14"/>
  <c r="I461" i="14"/>
  <c r="H461" i="14"/>
  <c r="G461" i="14"/>
  <c r="I460" i="14"/>
  <c r="H460" i="14"/>
  <c r="G460" i="14"/>
  <c r="I459" i="14"/>
  <c r="H459" i="14"/>
  <c r="G459" i="14"/>
  <c r="I458" i="14"/>
  <c r="H458" i="14"/>
  <c r="G458" i="14"/>
  <c r="I457" i="14"/>
  <c r="H457" i="14"/>
  <c r="G457" i="14"/>
  <c r="I456" i="14"/>
  <c r="H456" i="14"/>
  <c r="G456" i="14"/>
  <c r="I455" i="14"/>
  <c r="H455" i="14"/>
  <c r="G455" i="14"/>
  <c r="I454" i="14"/>
  <c r="H454" i="14"/>
  <c r="G454" i="14"/>
  <c r="I453" i="14"/>
  <c r="H453" i="14"/>
  <c r="G453" i="14"/>
  <c r="I452" i="14"/>
  <c r="H452" i="14"/>
  <c r="G452" i="14"/>
  <c r="I451" i="14"/>
  <c r="H451" i="14"/>
  <c r="G451" i="14"/>
  <c r="I450" i="14"/>
  <c r="H450" i="14"/>
  <c r="G450" i="14"/>
  <c r="I449" i="14"/>
  <c r="H449" i="14"/>
  <c r="G449" i="14"/>
  <c r="I448" i="14"/>
  <c r="H448" i="14"/>
  <c r="G448" i="14"/>
  <c r="I447" i="14"/>
  <c r="H447" i="14"/>
  <c r="G447" i="14"/>
  <c r="I446" i="14"/>
  <c r="I445" i="14"/>
  <c r="I444" i="14"/>
  <c r="J444" i="14" s="1"/>
  <c r="L444" i="14" s="1"/>
  <c r="I443" i="14"/>
  <c r="I442" i="14"/>
  <c r="I441" i="14"/>
  <c r="I440" i="14"/>
  <c r="H440" i="14"/>
  <c r="I439" i="14"/>
  <c r="H439" i="14"/>
  <c r="I438" i="14"/>
  <c r="J437" i="14"/>
  <c r="L437" i="14" s="1"/>
  <c r="J436" i="14"/>
  <c r="L436" i="14" s="1"/>
  <c r="J434" i="14"/>
  <c r="L434" i="14" s="1"/>
  <c r="J433" i="14"/>
  <c r="L433" i="14" s="1"/>
  <c r="L432" i="14"/>
  <c r="K432" i="14"/>
  <c r="L431" i="14"/>
  <c r="K431" i="14"/>
  <c r="L426" i="14"/>
  <c r="K426" i="14"/>
  <c r="J425" i="14"/>
  <c r="L425" i="14" s="1"/>
  <c r="L419" i="14"/>
  <c r="E418" i="14"/>
  <c r="J417" i="14"/>
  <c r="J418" i="14" s="1"/>
  <c r="E417" i="14"/>
  <c r="E416" i="14"/>
  <c r="L416" i="14" s="1"/>
  <c r="L415" i="14"/>
  <c r="E408" i="14"/>
  <c r="L408" i="14" s="1"/>
  <c r="E414" i="14"/>
  <c r="L414" i="14" s="1"/>
  <c r="J413" i="14"/>
  <c r="E413" i="14"/>
  <c r="J412" i="14"/>
  <c r="E412" i="14"/>
  <c r="J411" i="14"/>
  <c r="E411" i="14"/>
  <c r="E410" i="14"/>
  <c r="K410" i="14" s="1"/>
  <c r="E409" i="14"/>
  <c r="L409" i="14" s="1"/>
  <c r="E405" i="14"/>
  <c r="L405" i="14" s="1"/>
  <c r="J407" i="14"/>
  <c r="E407" i="14"/>
  <c r="J406" i="14"/>
  <c r="E406" i="14"/>
  <c r="E403" i="14"/>
  <c r="L403" i="14" s="1"/>
  <c r="J401" i="14"/>
  <c r="E401" i="14"/>
  <c r="E404" i="14"/>
  <c r="L404" i="14" s="1"/>
  <c r="J400" i="14"/>
  <c r="L400" i="14" s="1"/>
  <c r="L399" i="14"/>
  <c r="K399" i="14"/>
  <c r="E398" i="14"/>
  <c r="L398" i="14" s="1"/>
  <c r="J396" i="14"/>
  <c r="L396" i="14" s="1"/>
  <c r="K389" i="14"/>
  <c r="L390" i="14"/>
  <c r="E388" i="14"/>
  <c r="L388" i="14" s="1"/>
  <c r="E387" i="14"/>
  <c r="L387" i="14" s="1"/>
  <c r="E386" i="14"/>
  <c r="E402" i="14" s="1"/>
  <c r="L402" i="14" s="1"/>
  <c r="L384" i="14"/>
  <c r="K384" i="14"/>
  <c r="L383" i="14"/>
  <c r="E382" i="14"/>
  <c r="L382" i="14" s="1"/>
  <c r="L380" i="14"/>
  <c r="K380" i="14"/>
  <c r="L379" i="14"/>
  <c r="J376" i="14"/>
  <c r="K376" i="14" s="1"/>
  <c r="J375" i="14"/>
  <c r="L375" i="14" s="1"/>
  <c r="J374" i="14"/>
  <c r="E374" i="14"/>
  <c r="J373" i="14"/>
  <c r="L373" i="14" s="1"/>
  <c r="J367" i="14"/>
  <c r="L367" i="14" s="1"/>
  <c r="L366" i="14"/>
  <c r="K366" i="14"/>
  <c r="J365" i="14"/>
  <c r="L365" i="14" s="1"/>
  <c r="J364" i="14"/>
  <c r="K364" i="14" s="1"/>
  <c r="L363" i="14"/>
  <c r="L362" i="14"/>
  <c r="L360" i="14"/>
  <c r="I352" i="14"/>
  <c r="H352" i="14"/>
  <c r="G352" i="14"/>
  <c r="I351" i="14"/>
  <c r="H351" i="14"/>
  <c r="G351" i="14"/>
  <c r="I350" i="14"/>
  <c r="H350" i="14"/>
  <c r="G350" i="14"/>
  <c r="I349" i="14"/>
  <c r="H349" i="14"/>
  <c r="J349" i="14" s="1"/>
  <c r="K349" i="14" s="1"/>
  <c r="G349" i="14"/>
  <c r="I348" i="14"/>
  <c r="H348" i="14"/>
  <c r="G348" i="14"/>
  <c r="I347" i="14"/>
  <c r="H347" i="14"/>
  <c r="G347" i="14"/>
  <c r="I346" i="14"/>
  <c r="H346" i="14"/>
  <c r="G346" i="14"/>
  <c r="I345" i="14"/>
  <c r="H345" i="14"/>
  <c r="G345" i="14"/>
  <c r="I344" i="14"/>
  <c r="H344" i="14"/>
  <c r="G344" i="14"/>
  <c r="I343" i="14"/>
  <c r="H343" i="14"/>
  <c r="G343" i="14"/>
  <c r="I342" i="14"/>
  <c r="H342" i="14"/>
  <c r="G342" i="14"/>
  <c r="I341" i="14"/>
  <c r="H341" i="14"/>
  <c r="G341" i="14"/>
  <c r="I340" i="14"/>
  <c r="H340" i="14"/>
  <c r="G340" i="14"/>
  <c r="I339" i="14"/>
  <c r="H339" i="14"/>
  <c r="G339" i="14"/>
  <c r="I338" i="14"/>
  <c r="H338" i="14"/>
  <c r="G338" i="14"/>
  <c r="I337" i="14"/>
  <c r="H337" i="14"/>
  <c r="G337" i="14"/>
  <c r="I336" i="14"/>
  <c r="H336" i="14"/>
  <c r="J336" i="14" s="1"/>
  <c r="G336" i="14"/>
  <c r="I335" i="14"/>
  <c r="H335" i="14"/>
  <c r="G335" i="14"/>
  <c r="I334" i="14"/>
  <c r="H334" i="14"/>
  <c r="G334" i="14"/>
  <c r="I333" i="14"/>
  <c r="H333" i="14"/>
  <c r="G333" i="14"/>
  <c r="K332" i="14"/>
  <c r="I332" i="14"/>
  <c r="I331" i="14"/>
  <c r="I330" i="14"/>
  <c r="I329" i="14"/>
  <c r="H329" i="14"/>
  <c r="I328" i="14"/>
  <c r="H328" i="14"/>
  <c r="I327" i="14"/>
  <c r="I326" i="14"/>
  <c r="H326" i="14"/>
  <c r="I325" i="14"/>
  <c r="I324" i="14"/>
  <c r="I323" i="14"/>
  <c r="H323" i="14"/>
  <c r="J322" i="14"/>
  <c r="K322" i="14" s="1"/>
  <c r="J321" i="14"/>
  <c r="L321" i="14" s="1"/>
  <c r="J320" i="14"/>
  <c r="J319" i="14"/>
  <c r="L319" i="14" s="1"/>
  <c r="J318" i="14"/>
  <c r="K318" i="14" s="1"/>
  <c r="J317" i="14"/>
  <c r="K317" i="14" s="1"/>
  <c r="J316" i="14"/>
  <c r="L316" i="14" s="1"/>
  <c r="J315" i="14"/>
  <c r="L315" i="14" s="1"/>
  <c r="J314" i="14"/>
  <c r="K314" i="14" s="1"/>
  <c r="J313" i="14"/>
  <c r="L312" i="14"/>
  <c r="K312" i="14"/>
  <c r="J311" i="14"/>
  <c r="L311" i="14" s="1"/>
  <c r="J310" i="14"/>
  <c r="L310" i="14" s="1"/>
  <c r="J309" i="14"/>
  <c r="L309" i="14" s="1"/>
  <c r="J308" i="14"/>
  <c r="J307" i="14"/>
  <c r="K307" i="14" s="1"/>
  <c r="J306" i="14"/>
  <c r="L306" i="14" s="1"/>
  <c r="J305" i="14"/>
  <c r="J304" i="14"/>
  <c r="K304" i="14" s="1"/>
  <c r="J303" i="14"/>
  <c r="K303" i="14" s="1"/>
  <c r="J302" i="14"/>
  <c r="K302" i="14" s="1"/>
  <c r="J301" i="14"/>
  <c r="L301" i="14" s="1"/>
  <c r="J300" i="14"/>
  <c r="J299" i="14"/>
  <c r="J298" i="14"/>
  <c r="K298" i="14" s="1"/>
  <c r="J297" i="14"/>
  <c r="K297" i="14" s="1"/>
  <c r="J296" i="14"/>
  <c r="K296" i="14" s="1"/>
  <c r="J295" i="14"/>
  <c r="E295" i="14"/>
  <c r="L293" i="14"/>
  <c r="J292" i="14"/>
  <c r="E292" i="14"/>
  <c r="J289" i="14"/>
  <c r="E289" i="14"/>
  <c r="J288" i="14"/>
  <c r="E288" i="14"/>
  <c r="J287" i="14"/>
  <c r="E287" i="14"/>
  <c r="E286" i="14"/>
  <c r="K285" i="14"/>
  <c r="J284" i="14"/>
  <c r="L284" i="14" s="1"/>
  <c r="F284" i="14"/>
  <c r="H284" i="14" s="1"/>
  <c r="J282" i="14"/>
  <c r="K282" i="14" s="1"/>
  <c r="F282" i="14"/>
  <c r="H282" i="14" s="1"/>
  <c r="J281" i="14"/>
  <c r="L281" i="14" s="1"/>
  <c r="F281" i="14"/>
  <c r="G281" i="14" s="1"/>
  <c r="J283" i="14"/>
  <c r="K283" i="14" s="1"/>
  <c r="F283" i="14"/>
  <c r="G283" i="14" s="1"/>
  <c r="J279" i="14"/>
  <c r="K279" i="14" s="1"/>
  <c r="F279" i="14"/>
  <c r="G279" i="14" s="1"/>
  <c r="J280" i="14"/>
  <c r="F280" i="14"/>
  <c r="G280" i="14" s="1"/>
  <c r="J278" i="14"/>
  <c r="K278" i="14" s="1"/>
  <c r="F278" i="14"/>
  <c r="G278" i="14" s="1"/>
  <c r="J277" i="14"/>
  <c r="K277" i="14" s="1"/>
  <c r="F277" i="14"/>
  <c r="H277" i="14" s="1"/>
  <c r="J276" i="14"/>
  <c r="K276" i="14" s="1"/>
  <c r="F276" i="14"/>
  <c r="G276" i="14" s="1"/>
  <c r="J275" i="14"/>
  <c r="K275" i="14" s="1"/>
  <c r="F275" i="14"/>
  <c r="J272" i="14"/>
  <c r="L272" i="14" s="1"/>
  <c r="F272" i="14"/>
  <c r="G272" i="14" s="1"/>
  <c r="J274" i="14"/>
  <c r="F274" i="14"/>
  <c r="G274" i="14" s="1"/>
  <c r="L273" i="14"/>
  <c r="K273" i="14"/>
  <c r="H273" i="14"/>
  <c r="G273" i="14"/>
  <c r="J271" i="14"/>
  <c r="L271" i="14" s="1"/>
  <c r="F271" i="14"/>
  <c r="H271" i="14" s="1"/>
  <c r="J270" i="14"/>
  <c r="K270" i="14" s="1"/>
  <c r="F270" i="14"/>
  <c r="J269" i="14"/>
  <c r="K269" i="14" s="1"/>
  <c r="F269" i="14"/>
  <c r="G269" i="14" s="1"/>
  <c r="J268" i="14"/>
  <c r="L268" i="14" s="1"/>
  <c r="F268" i="14"/>
  <c r="G268" i="14" s="1"/>
  <c r="J267" i="14"/>
  <c r="K267" i="14" s="1"/>
  <c r="F267" i="14"/>
  <c r="H267" i="14" s="1"/>
  <c r="J266" i="14"/>
  <c r="K266" i="14" s="1"/>
  <c r="F266" i="14"/>
  <c r="H266" i="14" s="1"/>
  <c r="J265" i="14"/>
  <c r="K265" i="14" s="1"/>
  <c r="F265" i="14"/>
  <c r="H265" i="14" s="1"/>
  <c r="K264" i="14"/>
  <c r="H264" i="14"/>
  <c r="G264" i="14"/>
  <c r="K263" i="14"/>
  <c r="H263" i="14"/>
  <c r="G263" i="14"/>
  <c r="H262" i="14"/>
  <c r="G262" i="14"/>
  <c r="H261" i="14"/>
  <c r="G261" i="14"/>
  <c r="K260" i="14"/>
  <c r="H260" i="14"/>
  <c r="G260" i="14"/>
  <c r="K259" i="14"/>
  <c r="H259" i="14"/>
  <c r="G259" i="14"/>
  <c r="G258" i="14"/>
  <c r="H257" i="14"/>
  <c r="G257" i="14"/>
  <c r="H256" i="14"/>
  <c r="G256" i="14"/>
  <c r="L255" i="14"/>
  <c r="K255" i="14"/>
  <c r="H255" i="14"/>
  <c r="G255" i="14"/>
  <c r="J254" i="14"/>
  <c r="K254" i="14" s="1"/>
  <c r="F254" i="14"/>
  <c r="J253" i="14"/>
  <c r="K253" i="14" s="1"/>
  <c r="F253" i="14"/>
  <c r="G253" i="14" s="1"/>
  <c r="J252" i="14"/>
  <c r="K252" i="14" s="1"/>
  <c r="F252" i="14"/>
  <c r="G252" i="14" s="1"/>
  <c r="J251" i="14"/>
  <c r="K251" i="14" s="1"/>
  <c r="F251" i="14"/>
  <c r="G251" i="14" s="1"/>
  <c r="J250" i="14"/>
  <c r="K250" i="14" s="1"/>
  <c r="F250" i="14"/>
  <c r="G250" i="14" s="1"/>
  <c r="J249" i="14"/>
  <c r="K249" i="14" s="1"/>
  <c r="F249" i="14"/>
  <c r="H249" i="14" s="1"/>
  <c r="J248" i="14"/>
  <c r="K248" i="14" s="1"/>
  <c r="F248" i="14"/>
  <c r="H248" i="14" s="1"/>
  <c r="J247" i="14"/>
  <c r="F247" i="14"/>
  <c r="J244" i="14"/>
  <c r="L244" i="14" s="1"/>
  <c r="F244" i="14"/>
  <c r="G244" i="14" s="1"/>
  <c r="J243" i="14"/>
  <c r="L243" i="14" s="1"/>
  <c r="F243" i="14"/>
  <c r="J246" i="14"/>
  <c r="K246" i="14" s="1"/>
  <c r="F246" i="14"/>
  <c r="H246" i="14" s="1"/>
  <c r="L245" i="14"/>
  <c r="K245" i="14"/>
  <c r="H245" i="14"/>
  <c r="G245" i="14"/>
  <c r="K242" i="14"/>
  <c r="G242" i="14"/>
  <c r="K241" i="14"/>
  <c r="H241" i="14"/>
  <c r="G241" i="14"/>
  <c r="K240" i="14"/>
  <c r="G240" i="14"/>
  <c r="G239" i="14"/>
  <c r="K238" i="14"/>
  <c r="G238" i="14"/>
  <c r="G237" i="14"/>
  <c r="K236" i="14"/>
  <c r="G236" i="14"/>
  <c r="K235" i="14"/>
  <c r="G235" i="14"/>
  <c r="G234" i="14"/>
  <c r="G233" i="14"/>
  <c r="K232" i="14"/>
  <c r="G232" i="14"/>
  <c r="K231" i="14"/>
  <c r="H231" i="14"/>
  <c r="G231" i="14"/>
  <c r="K230" i="14"/>
  <c r="G230" i="14"/>
  <c r="G229" i="14"/>
  <c r="K228" i="14"/>
  <c r="G228" i="14"/>
  <c r="G227" i="14"/>
  <c r="K226" i="14"/>
  <c r="G226" i="14"/>
  <c r="K225" i="14"/>
  <c r="G225" i="14"/>
  <c r="G224" i="14"/>
  <c r="G223" i="14"/>
  <c r="H221" i="14"/>
  <c r="G221" i="14"/>
  <c r="H220" i="14"/>
  <c r="G220" i="14"/>
  <c r="H219" i="14"/>
  <c r="G219" i="14"/>
  <c r="K218" i="14"/>
  <c r="H218" i="14"/>
  <c r="G218" i="14"/>
  <c r="K217" i="14"/>
  <c r="H217" i="14"/>
  <c r="G217" i="14"/>
  <c r="G216" i="14"/>
  <c r="H215" i="14"/>
  <c r="G215" i="14"/>
  <c r="J214" i="14"/>
  <c r="K214" i="14" s="1"/>
  <c r="F214" i="14"/>
  <c r="J213" i="14"/>
  <c r="K213" i="14" s="1"/>
  <c r="F213" i="14"/>
  <c r="H213" i="14" s="1"/>
  <c r="J212" i="14"/>
  <c r="L212" i="14" s="1"/>
  <c r="F212" i="14"/>
  <c r="H212" i="14" s="1"/>
  <c r="J211" i="14"/>
  <c r="K211" i="14" s="1"/>
  <c r="F211" i="14"/>
  <c r="H211" i="14" s="1"/>
  <c r="J210" i="14"/>
  <c r="K210" i="14" s="1"/>
  <c r="F210" i="14"/>
  <c r="J209" i="14"/>
  <c r="L209" i="14" s="1"/>
  <c r="F209" i="14"/>
  <c r="G209" i="14" s="1"/>
  <c r="J208" i="14"/>
  <c r="K208" i="14" s="1"/>
  <c r="F208" i="14"/>
  <c r="H208" i="14" s="1"/>
  <c r="J207" i="14"/>
  <c r="K207" i="14" s="1"/>
  <c r="F207" i="14"/>
  <c r="G207" i="14" s="1"/>
  <c r="J206" i="14"/>
  <c r="L206" i="14" s="1"/>
  <c r="F206" i="14"/>
  <c r="H206" i="14" s="1"/>
  <c r="J205" i="14"/>
  <c r="L205" i="14" s="1"/>
  <c r="F205" i="14"/>
  <c r="J204" i="14"/>
  <c r="K204" i="14" s="1"/>
  <c r="F204" i="14"/>
  <c r="H204" i="14" s="1"/>
  <c r="J203" i="14"/>
  <c r="K203" i="14" s="1"/>
  <c r="F203" i="14"/>
  <c r="H203" i="14" s="1"/>
  <c r="J202" i="14"/>
  <c r="K202" i="14" s="1"/>
  <c r="F202" i="14"/>
  <c r="G202" i="14" s="1"/>
  <c r="J201" i="14"/>
  <c r="K201" i="14" s="1"/>
  <c r="F201" i="14"/>
  <c r="J200" i="14"/>
  <c r="L200" i="14" s="1"/>
  <c r="F200" i="14"/>
  <c r="H200" i="14" s="1"/>
  <c r="J199" i="14"/>
  <c r="K199" i="14" s="1"/>
  <c r="F199" i="14"/>
  <c r="H199" i="14" s="1"/>
  <c r="J198" i="14"/>
  <c r="K198" i="14" s="1"/>
  <c r="F198" i="14"/>
  <c r="G198" i="14" s="1"/>
  <c r="J197" i="14"/>
  <c r="K197" i="14" s="1"/>
  <c r="F197" i="14"/>
  <c r="H197" i="14" s="1"/>
  <c r="J196" i="14"/>
  <c r="L196" i="14" s="1"/>
  <c r="F196" i="14"/>
  <c r="G196" i="14" s="1"/>
  <c r="J195" i="14"/>
  <c r="L195" i="14" s="1"/>
  <c r="F195" i="14"/>
  <c r="J194" i="14"/>
  <c r="K194" i="14" s="1"/>
  <c r="F194" i="14"/>
  <c r="H194" i="14" s="1"/>
  <c r="J193" i="14"/>
  <c r="L193" i="14" s="1"/>
  <c r="F193" i="14"/>
  <c r="G193" i="14" s="1"/>
  <c r="J192" i="14"/>
  <c r="K192" i="14" s="1"/>
  <c r="F192" i="14"/>
  <c r="H192" i="14" s="1"/>
  <c r="J191" i="14"/>
  <c r="K191" i="14" s="1"/>
  <c r="F191" i="14"/>
  <c r="G191" i="14" s="1"/>
  <c r="J190" i="14"/>
  <c r="L190" i="14" s="1"/>
  <c r="F190" i="14"/>
  <c r="G190" i="14" s="1"/>
  <c r="J189" i="14"/>
  <c r="L189" i="14" s="1"/>
  <c r="F189" i="14"/>
  <c r="G189" i="14" s="1"/>
  <c r="J188" i="14"/>
  <c r="K188" i="14" s="1"/>
  <c r="F188" i="14"/>
  <c r="H188" i="14" s="1"/>
  <c r="J187" i="14"/>
  <c r="K187" i="14" s="1"/>
  <c r="F187" i="14"/>
  <c r="H187" i="14" s="1"/>
  <c r="J186" i="14"/>
  <c r="L186" i="14" s="1"/>
  <c r="F186" i="14"/>
  <c r="G186" i="14" s="1"/>
  <c r="L185" i="14"/>
  <c r="K185" i="14"/>
  <c r="H185" i="14"/>
  <c r="G185" i="14"/>
  <c r="J184" i="14"/>
  <c r="L184" i="14" s="1"/>
  <c r="F184" i="14"/>
  <c r="G184" i="14" s="1"/>
  <c r="J183" i="14"/>
  <c r="L183" i="14" s="1"/>
  <c r="F183" i="14"/>
  <c r="J182" i="14"/>
  <c r="K182" i="14" s="1"/>
  <c r="F182" i="14"/>
  <c r="G182" i="14" s="1"/>
  <c r="J181" i="14"/>
  <c r="K181" i="14" s="1"/>
  <c r="F181" i="14"/>
  <c r="H181" i="14" s="1"/>
  <c r="J180" i="14"/>
  <c r="K180" i="14" s="1"/>
  <c r="F180" i="14"/>
  <c r="J179" i="14"/>
  <c r="K179" i="14" s="1"/>
  <c r="F179" i="14"/>
  <c r="H179" i="14" s="1"/>
  <c r="J178" i="14"/>
  <c r="L178" i="14" s="1"/>
  <c r="F178" i="14"/>
  <c r="H178" i="14" s="1"/>
  <c r="J177" i="14"/>
  <c r="K177" i="14" s="1"/>
  <c r="F177" i="14"/>
  <c r="H177" i="14" s="1"/>
  <c r="J176" i="14"/>
  <c r="L176" i="14" s="1"/>
  <c r="F176" i="14"/>
  <c r="J175" i="14"/>
  <c r="L175" i="14" s="1"/>
  <c r="F175" i="14"/>
  <c r="G175" i="14" s="1"/>
  <c r="J174" i="14"/>
  <c r="K174" i="14" s="1"/>
  <c r="F174" i="14"/>
  <c r="J173" i="14"/>
  <c r="K173" i="14" s="1"/>
  <c r="F173" i="14"/>
  <c r="G173" i="14" s="1"/>
  <c r="J172" i="14"/>
  <c r="L172" i="14" s="1"/>
  <c r="F172" i="14"/>
  <c r="G172" i="14" s="1"/>
  <c r="J171" i="14"/>
  <c r="F171" i="14"/>
  <c r="G171" i="14" s="1"/>
  <c r="J170" i="14"/>
  <c r="K170" i="14" s="1"/>
  <c r="F170" i="14"/>
  <c r="H170" i="14" s="1"/>
  <c r="J169" i="14"/>
  <c r="K169" i="14" s="1"/>
  <c r="F169" i="14"/>
  <c r="G169" i="14" s="1"/>
  <c r="H167" i="14"/>
  <c r="G167" i="14"/>
  <c r="H166" i="14"/>
  <c r="G166" i="14"/>
  <c r="H165" i="14"/>
  <c r="G165" i="14"/>
  <c r="K164" i="14"/>
  <c r="G164" i="14"/>
  <c r="K163" i="14"/>
  <c r="H163" i="14"/>
  <c r="G163" i="14"/>
  <c r="G162" i="14"/>
  <c r="H161" i="14"/>
  <c r="G161" i="14"/>
  <c r="J160" i="14"/>
  <c r="L160" i="14" s="1"/>
  <c r="F160" i="14"/>
  <c r="H160" i="14" s="1"/>
  <c r="J159" i="14"/>
  <c r="K159" i="14" s="1"/>
  <c r="F159" i="14"/>
  <c r="H159" i="14" s="1"/>
  <c r="J158" i="14"/>
  <c r="K158" i="14" s="1"/>
  <c r="F158" i="14"/>
  <c r="H158" i="14" s="1"/>
  <c r="J157" i="14"/>
  <c r="K157" i="14" s="1"/>
  <c r="F157" i="14"/>
  <c r="J156" i="14"/>
  <c r="K156" i="14" s="1"/>
  <c r="F156" i="14"/>
  <c r="H156" i="14" s="1"/>
  <c r="J155" i="14"/>
  <c r="K155" i="14" s="1"/>
  <c r="F155" i="14"/>
  <c r="G155" i="14" s="1"/>
  <c r="J154" i="14"/>
  <c r="K154" i="14" s="1"/>
  <c r="F154" i="14"/>
  <c r="J153" i="14"/>
  <c r="K153" i="14" s="1"/>
  <c r="F153" i="14"/>
  <c r="G153" i="14" s="1"/>
  <c r="H152" i="14"/>
  <c r="G152" i="14"/>
  <c r="G151" i="14"/>
  <c r="H150" i="14"/>
  <c r="G150" i="14"/>
  <c r="H149" i="14"/>
  <c r="G149" i="14"/>
  <c r="K148" i="14"/>
  <c r="H148" i="14"/>
  <c r="G148" i="14"/>
  <c r="K147" i="14"/>
  <c r="G147" i="14"/>
  <c r="G146" i="14"/>
  <c r="H145" i="14"/>
  <c r="G145" i="14"/>
  <c r="J144" i="14"/>
  <c r="L144" i="14" s="1"/>
  <c r="F144" i="14"/>
  <c r="H144" i="14" s="1"/>
  <c r="J143" i="14"/>
  <c r="K143" i="14" s="1"/>
  <c r="F143" i="14"/>
  <c r="H143" i="14" s="1"/>
  <c r="J142" i="14"/>
  <c r="K142" i="14" s="1"/>
  <c r="F142" i="14"/>
  <c r="H142" i="14" s="1"/>
  <c r="J141" i="14"/>
  <c r="K141" i="14" s="1"/>
  <c r="F141" i="14"/>
  <c r="H141" i="14" s="1"/>
  <c r="J140" i="14"/>
  <c r="K140" i="14" s="1"/>
  <c r="F140" i="14"/>
  <c r="H140" i="14" s="1"/>
  <c r="J139" i="14"/>
  <c r="L139" i="14" s="1"/>
  <c r="F139" i="14"/>
  <c r="H139" i="14" s="1"/>
  <c r="J138" i="14"/>
  <c r="K138" i="14" s="1"/>
  <c r="F138" i="14"/>
  <c r="G138" i="14" s="1"/>
  <c r="J137" i="14"/>
  <c r="K137" i="14" s="1"/>
  <c r="F137" i="14"/>
  <c r="G137" i="14" s="1"/>
  <c r="H135" i="14"/>
  <c r="G135" i="14"/>
  <c r="L134" i="14"/>
  <c r="K134" i="14"/>
  <c r="G134" i="14"/>
  <c r="H133" i="14"/>
  <c r="G133" i="14"/>
  <c r="K132" i="14"/>
  <c r="H132" i="14"/>
  <c r="G132" i="14"/>
  <c r="K131" i="14"/>
  <c r="G131" i="14"/>
  <c r="G130" i="14"/>
  <c r="J129" i="14"/>
  <c r="K129" i="14" s="1"/>
  <c r="F129" i="14"/>
  <c r="H129" i="14" s="1"/>
  <c r="J128" i="14"/>
  <c r="K128" i="14" s="1"/>
  <c r="F128" i="14"/>
  <c r="G128" i="14" s="1"/>
  <c r="J127" i="14"/>
  <c r="F127" i="14"/>
  <c r="H127" i="14" s="1"/>
  <c r="J126" i="14"/>
  <c r="K126" i="14" s="1"/>
  <c r="F126" i="14"/>
  <c r="G126" i="14" s="1"/>
  <c r="J125" i="14"/>
  <c r="L125" i="14" s="1"/>
  <c r="F125" i="14"/>
  <c r="H125" i="14" s="1"/>
  <c r="J124" i="14"/>
  <c r="L124" i="14" s="1"/>
  <c r="F124" i="14"/>
  <c r="J123" i="14"/>
  <c r="K123" i="14" s="1"/>
  <c r="F123" i="14"/>
  <c r="H123" i="14" s="1"/>
  <c r="J122" i="14"/>
  <c r="K122" i="14" s="1"/>
  <c r="F122" i="14"/>
  <c r="H122" i="14" s="1"/>
  <c r="H121" i="14"/>
  <c r="G121" i="14"/>
  <c r="H120" i="14"/>
  <c r="G120" i="14"/>
  <c r="H119" i="14"/>
  <c r="G119" i="14"/>
  <c r="H118" i="14"/>
  <c r="G118" i="14"/>
  <c r="K117" i="14"/>
  <c r="H117" i="14"/>
  <c r="G117" i="14"/>
  <c r="K116" i="14"/>
  <c r="H116" i="14"/>
  <c r="G116" i="14"/>
  <c r="G115" i="14"/>
  <c r="H114" i="14"/>
  <c r="G114" i="14"/>
  <c r="J113" i="14"/>
  <c r="F113" i="14"/>
  <c r="G113" i="14" s="1"/>
  <c r="J112" i="14"/>
  <c r="K112" i="14" s="1"/>
  <c r="F112" i="14"/>
  <c r="G112" i="14" s="1"/>
  <c r="J111" i="14"/>
  <c r="K111" i="14" s="1"/>
  <c r="F111" i="14"/>
  <c r="G111" i="14" s="1"/>
  <c r="J110" i="14"/>
  <c r="K110" i="14" s="1"/>
  <c r="F110" i="14"/>
  <c r="H110" i="14" s="1"/>
  <c r="J109" i="14"/>
  <c r="L109" i="14" s="1"/>
  <c r="F109" i="14"/>
  <c r="J108" i="14"/>
  <c r="F108" i="14"/>
  <c r="H108" i="14" s="1"/>
  <c r="J107" i="14"/>
  <c r="K107" i="14" s="1"/>
  <c r="F107" i="14"/>
  <c r="H107" i="14" s="1"/>
  <c r="J106" i="14"/>
  <c r="K106" i="14" s="1"/>
  <c r="F106" i="14"/>
  <c r="G106" i="14" s="1"/>
  <c r="J105" i="14"/>
  <c r="K105" i="14" s="1"/>
  <c r="F105" i="14"/>
  <c r="H105" i="14" s="1"/>
  <c r="J104" i="14"/>
  <c r="L104" i="14" s="1"/>
  <c r="F104" i="14"/>
  <c r="H104" i="14" s="1"/>
  <c r="J103" i="14"/>
  <c r="K103" i="14" s="1"/>
  <c r="F103" i="14"/>
  <c r="H103" i="14" s="1"/>
  <c r="J102" i="14"/>
  <c r="F102" i="14"/>
  <c r="G102" i="14" s="1"/>
  <c r="J101" i="14"/>
  <c r="K101" i="14" s="1"/>
  <c r="F101" i="14"/>
  <c r="G101" i="14" s="1"/>
  <c r="J100" i="14"/>
  <c r="L100" i="14" s="1"/>
  <c r="F100" i="14"/>
  <c r="G100" i="14" s="1"/>
  <c r="J99" i="14"/>
  <c r="K99" i="14" s="1"/>
  <c r="F99" i="14"/>
  <c r="H99" i="14" s="1"/>
  <c r="J98" i="14"/>
  <c r="K98" i="14" s="1"/>
  <c r="F98" i="14"/>
  <c r="H98" i="14" s="1"/>
  <c r="H97" i="14"/>
  <c r="G97" i="14"/>
  <c r="H96" i="14"/>
  <c r="G96" i="14"/>
  <c r="H95" i="14"/>
  <c r="G95" i="14"/>
  <c r="K94" i="14"/>
  <c r="H94" i="14"/>
  <c r="G94" i="14"/>
  <c r="K93" i="14"/>
  <c r="H93" i="14"/>
  <c r="G93" i="14"/>
  <c r="K92" i="14"/>
  <c r="H92" i="14"/>
  <c r="G92" i="14"/>
  <c r="G91" i="14"/>
  <c r="H90" i="14"/>
  <c r="G90" i="14"/>
  <c r="J87" i="14"/>
  <c r="K87" i="14" s="1"/>
  <c r="L86" i="14"/>
  <c r="K86" i="14"/>
  <c r="J82" i="14"/>
  <c r="L82" i="14" s="1"/>
  <c r="J76" i="14"/>
  <c r="K76" i="14" s="1"/>
  <c r="F76" i="14"/>
  <c r="G76" i="14" s="1"/>
  <c r="J75" i="14"/>
  <c r="K75" i="14" s="1"/>
  <c r="F75" i="14"/>
  <c r="H75" i="14" s="1"/>
  <c r="J74" i="14"/>
  <c r="F74" i="14"/>
  <c r="H74" i="14" s="1"/>
  <c r="J73" i="14"/>
  <c r="K73" i="14" s="1"/>
  <c r="F73" i="14"/>
  <c r="G73" i="14" s="1"/>
  <c r="J72" i="14"/>
  <c r="L72" i="14" s="1"/>
  <c r="F72" i="14"/>
  <c r="H72" i="14" s="1"/>
  <c r="J71" i="14"/>
  <c r="K71" i="14" s="1"/>
  <c r="F71" i="14"/>
  <c r="J70" i="14"/>
  <c r="K70" i="14" s="1"/>
  <c r="F70" i="14"/>
  <c r="H70" i="14" s="1"/>
  <c r="J69" i="14"/>
  <c r="K69" i="14" s="1"/>
  <c r="F69" i="14"/>
  <c r="H69" i="14" s="1"/>
  <c r="J78" i="14"/>
  <c r="K78" i="14" s="1"/>
  <c r="F78" i="14"/>
  <c r="H78" i="14" s="1"/>
  <c r="L77" i="14"/>
  <c r="K77" i="14"/>
  <c r="H77" i="14"/>
  <c r="G77" i="14"/>
  <c r="J68" i="14"/>
  <c r="F68" i="14"/>
  <c r="H68" i="14" s="1"/>
  <c r="J67" i="14"/>
  <c r="K67" i="14" s="1"/>
  <c r="F67" i="14"/>
  <c r="G67" i="14" s="1"/>
  <c r="J66" i="14"/>
  <c r="F66" i="14"/>
  <c r="H66" i="14" s="1"/>
  <c r="J65" i="14"/>
  <c r="K65" i="14" s="1"/>
  <c r="F65" i="14"/>
  <c r="G65" i="14" s="1"/>
  <c r="J64" i="14"/>
  <c r="L64" i="14" s="1"/>
  <c r="F64" i="14"/>
  <c r="J63" i="14"/>
  <c r="F63" i="14"/>
  <c r="H63" i="14" s="1"/>
  <c r="J62" i="14"/>
  <c r="K62" i="14" s="1"/>
  <c r="F62" i="14"/>
  <c r="G62" i="14" s="1"/>
  <c r="J61" i="14"/>
  <c r="K61" i="14" s="1"/>
  <c r="F61" i="14"/>
  <c r="H61" i="14" s="1"/>
  <c r="K60" i="14"/>
  <c r="G60" i="14"/>
  <c r="K59" i="14"/>
  <c r="H59" i="14"/>
  <c r="G59" i="14"/>
  <c r="H58" i="14"/>
  <c r="G58" i="14"/>
  <c r="H57" i="14"/>
  <c r="G57" i="14"/>
  <c r="H56" i="14"/>
  <c r="G56" i="14"/>
  <c r="H55" i="14"/>
  <c r="G55" i="14"/>
  <c r="K54" i="14"/>
  <c r="H54" i="14"/>
  <c r="G54" i="14"/>
  <c r="K53" i="14"/>
  <c r="H53" i="14"/>
  <c r="G53" i="14"/>
  <c r="G52" i="14"/>
  <c r="H51" i="14"/>
  <c r="G51" i="14"/>
  <c r="J50" i="14"/>
  <c r="L50" i="14" s="1"/>
  <c r="J49" i="14"/>
  <c r="E49" i="14"/>
  <c r="L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J42" i="14" s="1"/>
  <c r="L42" i="14" s="1"/>
  <c r="G42" i="14"/>
  <c r="I41" i="14"/>
  <c r="H41" i="14"/>
  <c r="G41" i="14"/>
  <c r="I40" i="14"/>
  <c r="H40" i="14"/>
  <c r="G40" i="14"/>
  <c r="I39" i="14"/>
  <c r="H39" i="14"/>
  <c r="G39" i="14"/>
  <c r="I38" i="14"/>
  <c r="G38" i="14"/>
  <c r="I37" i="14"/>
  <c r="H37" i="14"/>
  <c r="G37" i="14"/>
  <c r="I36" i="14"/>
  <c r="H36" i="14"/>
  <c r="G36" i="14"/>
  <c r="I35" i="14"/>
  <c r="H35" i="14"/>
  <c r="G35" i="14"/>
  <c r="I29" i="14"/>
  <c r="I32" i="14"/>
  <c r="H32" i="14"/>
  <c r="G32" i="14"/>
  <c r="I31" i="14"/>
  <c r="H31" i="14"/>
  <c r="G31" i="14"/>
  <c r="I33" i="14"/>
  <c r="H33" i="14"/>
  <c r="G33" i="14"/>
  <c r="I28" i="14"/>
  <c r="H28" i="14"/>
  <c r="G28" i="14"/>
  <c r="I27" i="14"/>
  <c r="H27" i="14"/>
  <c r="G27" i="14"/>
  <c r="I26" i="14"/>
  <c r="H26" i="14"/>
  <c r="G26" i="14"/>
  <c r="I34" i="14"/>
  <c r="H34" i="14"/>
  <c r="G34" i="14"/>
  <c r="I30" i="14"/>
  <c r="H30" i="14"/>
  <c r="G30" i="14"/>
  <c r="I25" i="14"/>
  <c r="I24" i="14"/>
  <c r="I1019" i="14"/>
  <c r="J1019" i="14" s="1"/>
  <c r="L1019" i="14" s="1"/>
  <c r="G1019" i="14"/>
  <c r="I1017" i="14"/>
  <c r="H1017" i="14"/>
  <c r="G1017" i="14"/>
  <c r="I1018" i="14"/>
  <c r="H1018" i="14"/>
  <c r="G1018" i="14"/>
  <c r="I1016" i="14"/>
  <c r="H1016" i="14"/>
  <c r="G1016" i="14"/>
  <c r="I1015" i="14"/>
  <c r="H1015" i="14"/>
  <c r="G1015" i="14"/>
  <c r="I1014" i="14"/>
  <c r="H1014" i="14"/>
  <c r="G1014" i="14"/>
  <c r="I1013" i="14"/>
  <c r="H1013" i="14"/>
  <c r="G1013" i="14"/>
  <c r="I1012" i="14"/>
  <c r="H1012" i="14"/>
  <c r="G1012" i="14"/>
  <c r="I23" i="14"/>
  <c r="G23" i="14"/>
  <c r="E22" i="14"/>
  <c r="L22" i="14" s="1"/>
  <c r="E21" i="14"/>
  <c r="L21" i="14" s="1"/>
  <c r="E20" i="14"/>
  <c r="L20" i="14" s="1"/>
  <c r="E19" i="14"/>
  <c r="L19" i="14" s="1"/>
  <c r="E18" i="14"/>
  <c r="L18" i="14" s="1"/>
  <c r="E16" i="14"/>
  <c r="L16" i="14" s="1"/>
  <c r="E15" i="14"/>
  <c r="L15" i="14" s="1"/>
  <c r="E14" i="14"/>
  <c r="L14" i="14" s="1"/>
  <c r="E13" i="14"/>
  <c r="K13" i="14" s="1"/>
  <c r="E12" i="14"/>
  <c r="L12" i="14" s="1"/>
  <c r="I6" i="14"/>
  <c r="H6" i="14"/>
  <c r="G6" i="14"/>
  <c r="I7" i="14"/>
  <c r="K4" i="14"/>
  <c r="G4" i="14"/>
  <c r="I3" i="14"/>
  <c r="I2" i="14"/>
  <c r="I5" i="14"/>
  <c r="J528" i="14" l="1"/>
  <c r="K528" i="14" s="1"/>
  <c r="J591" i="14"/>
  <c r="K591" i="14" s="1"/>
  <c r="J685" i="14"/>
  <c r="L685" i="14" s="1"/>
  <c r="J696" i="14"/>
  <c r="K696" i="14" s="1"/>
  <c r="J834" i="14"/>
  <c r="L834" i="14" s="1"/>
  <c r="J844" i="14"/>
  <c r="K844" i="14" s="1"/>
  <c r="J860" i="14"/>
  <c r="K860" i="14" s="1"/>
  <c r="J875" i="14"/>
  <c r="J891" i="14"/>
  <c r="K891" i="14" s="1"/>
  <c r="J902" i="14"/>
  <c r="K902" i="14" s="1"/>
  <c r="J1087" i="14"/>
  <c r="J1104" i="14"/>
  <c r="K1104" i="14" s="1"/>
  <c r="J1179" i="14"/>
  <c r="J1195" i="14"/>
  <c r="J948" i="14"/>
  <c r="J964" i="14"/>
  <c r="K964" i="14" s="1"/>
  <c r="J1053" i="14"/>
  <c r="K1053" i="14" s="1"/>
  <c r="J520" i="14"/>
  <c r="K520" i="14" s="1"/>
  <c r="J624" i="14"/>
  <c r="K624" i="14" s="1"/>
  <c r="J731" i="14"/>
  <c r="L731" i="14" s="1"/>
  <c r="J1079" i="14"/>
  <c r="K1079" i="14" s="1"/>
  <c r="J494" i="14"/>
  <c r="L494" i="14" s="1"/>
  <c r="J683" i="14"/>
  <c r="L683" i="14" s="1"/>
  <c r="J747" i="14"/>
  <c r="K747" i="14" s="1"/>
  <c r="J802" i="14"/>
  <c r="L802" i="14" s="1"/>
  <c r="J967" i="14"/>
  <c r="L967" i="14" s="1"/>
  <c r="J1037" i="14"/>
  <c r="K1037" i="14" s="1"/>
  <c r="J1054" i="14"/>
  <c r="L1054" i="14" s="1"/>
  <c r="J1143" i="14"/>
  <c r="L1143" i="14" s="1"/>
  <c r="J41" i="14"/>
  <c r="K41" i="14" s="1"/>
  <c r="J897" i="14"/>
  <c r="L897" i="14" s="1"/>
  <c r="J972" i="14"/>
  <c r="L972" i="14" s="1"/>
  <c r="J574" i="14"/>
  <c r="K574" i="14" s="1"/>
  <c r="J610" i="14"/>
  <c r="K610" i="14" s="1"/>
  <c r="J884" i="14"/>
  <c r="K884" i="14" s="1"/>
  <c r="J1049" i="14"/>
  <c r="K1049" i="14" s="1"/>
  <c r="J476" i="14"/>
  <c r="K476" i="14" s="1"/>
  <c r="J527" i="14"/>
  <c r="K527" i="14" s="1"/>
  <c r="J564" i="14"/>
  <c r="L564" i="14" s="1"/>
  <c r="J631" i="14"/>
  <c r="L631" i="14" s="1"/>
  <c r="J647" i="14"/>
  <c r="K647" i="14" s="1"/>
  <c r="J695" i="14"/>
  <c r="K695" i="14" s="1"/>
  <c r="J774" i="14"/>
  <c r="K774" i="14" s="1"/>
  <c r="J817" i="14"/>
  <c r="L817" i="14" s="1"/>
  <c r="J833" i="14"/>
  <c r="K833" i="14" s="1"/>
  <c r="J859" i="14"/>
  <c r="K859" i="14" s="1"/>
  <c r="J874" i="14"/>
  <c r="K874" i="14" s="1"/>
  <c r="J890" i="14"/>
  <c r="K890" i="14" s="1"/>
  <c r="J1055" i="14"/>
  <c r="K1055" i="14" s="1"/>
  <c r="J1145" i="14"/>
  <c r="K1145" i="14" s="1"/>
  <c r="J1178" i="14"/>
  <c r="K1178" i="14" s="1"/>
  <c r="J342" i="14"/>
  <c r="J453" i="14"/>
  <c r="K453" i="14" s="1"/>
  <c r="J522" i="14"/>
  <c r="K522" i="14" s="1"/>
  <c r="J559" i="14"/>
  <c r="K559" i="14" s="1"/>
  <c r="J575" i="14"/>
  <c r="K575" i="14" s="1"/>
  <c r="J611" i="14"/>
  <c r="L611" i="14" s="1"/>
  <c r="J642" i="14"/>
  <c r="K642" i="14" s="1"/>
  <c r="J679" i="14"/>
  <c r="L679" i="14" s="1"/>
  <c r="J717" i="14"/>
  <c r="K717" i="14" s="1"/>
  <c r="J347" i="14"/>
  <c r="K347" i="14" s="1"/>
  <c r="J636" i="14"/>
  <c r="K636" i="14" s="1"/>
  <c r="J727" i="14"/>
  <c r="L727" i="14" s="1"/>
  <c r="J763" i="14"/>
  <c r="K763" i="14" s="1"/>
  <c r="J879" i="14"/>
  <c r="L879" i="14" s="1"/>
  <c r="J1059" i="14"/>
  <c r="K1059" i="14" s="1"/>
  <c r="J1198" i="14"/>
  <c r="K1198" i="14" s="1"/>
  <c r="J1156" i="14"/>
  <c r="L1156" i="14" s="1"/>
  <c r="J435" i="14"/>
  <c r="L435" i="14" s="1"/>
  <c r="J43" i="14"/>
  <c r="L43" i="14" s="1"/>
  <c r="J454" i="14"/>
  <c r="K454" i="14" s="1"/>
  <c r="J507" i="14"/>
  <c r="L507" i="14" s="1"/>
  <c r="J539" i="14"/>
  <c r="K539" i="14" s="1"/>
  <c r="J586" i="14"/>
  <c r="K586" i="14" s="1"/>
  <c r="J612" i="14"/>
  <c r="L612" i="14" s="1"/>
  <c r="J627" i="14"/>
  <c r="L627" i="14" s="1"/>
  <c r="J643" i="14"/>
  <c r="K643" i="14" s="1"/>
  <c r="J680" i="14"/>
  <c r="L680" i="14" s="1"/>
  <c r="J718" i="14"/>
  <c r="L718" i="14" s="1"/>
  <c r="J829" i="14"/>
  <c r="K829" i="14" s="1"/>
  <c r="J855" i="14"/>
  <c r="L855" i="14" s="1"/>
  <c r="J969" i="14"/>
  <c r="K969" i="14" s="1"/>
  <c r="J1066" i="14"/>
  <c r="K1066" i="14" s="1"/>
  <c r="J1081" i="14"/>
  <c r="K1081" i="14" s="1"/>
  <c r="J1139" i="14"/>
  <c r="L1139" i="14" s="1"/>
  <c r="J1189" i="14"/>
  <c r="L1189" i="14" s="1"/>
  <c r="J33" i="14"/>
  <c r="L33" i="14" s="1"/>
  <c r="J37" i="14"/>
  <c r="K37" i="14" s="1"/>
  <c r="J682" i="14"/>
  <c r="K682" i="14" s="1"/>
  <c r="J720" i="14"/>
  <c r="K720" i="14" s="1"/>
  <c r="J746" i="14"/>
  <c r="K746" i="14" s="1"/>
  <c r="J815" i="14"/>
  <c r="K815" i="14" s="1"/>
  <c r="J831" i="14"/>
  <c r="K831" i="14" s="1"/>
  <c r="J857" i="14"/>
  <c r="K857" i="14" s="1"/>
  <c r="J1058" i="14"/>
  <c r="L1058" i="14" s="1"/>
  <c r="J1083" i="14"/>
  <c r="J1100" i="14"/>
  <c r="K1100" i="14" s="1"/>
  <c r="J1116" i="14"/>
  <c r="K1116" i="14" s="1"/>
  <c r="J1191" i="14"/>
  <c r="K1191" i="14" s="1"/>
  <c r="J1014" i="14"/>
  <c r="J27" i="14"/>
  <c r="K27" i="14" s="1"/>
  <c r="J35" i="14"/>
  <c r="K35" i="14" s="1"/>
  <c r="J1017" i="14"/>
  <c r="L1017" i="14" s="1"/>
  <c r="J339" i="14"/>
  <c r="L339" i="14" s="1"/>
  <c r="J455" i="14"/>
  <c r="L455" i="14" s="1"/>
  <c r="J491" i="14"/>
  <c r="K491" i="14" s="1"/>
  <c r="J508" i="14"/>
  <c r="K508" i="14" s="1"/>
  <c r="J587" i="14"/>
  <c r="K587" i="14" s="1"/>
  <c r="J613" i="14"/>
  <c r="K613" i="14" s="1"/>
  <c r="J628" i="14"/>
  <c r="K628" i="14" s="1"/>
  <c r="J745" i="14"/>
  <c r="K745" i="14" s="1"/>
  <c r="J771" i="14"/>
  <c r="K771" i="14" s="1"/>
  <c r="J800" i="14"/>
  <c r="K800" i="14" s="1"/>
  <c r="J814" i="14"/>
  <c r="L814" i="14" s="1"/>
  <c r="J830" i="14"/>
  <c r="K830" i="14" s="1"/>
  <c r="J450" i="14"/>
  <c r="L450" i="14" s="1"/>
  <c r="J535" i="14"/>
  <c r="L535" i="14" s="1"/>
  <c r="J572" i="14"/>
  <c r="L572" i="14" s="1"/>
  <c r="J608" i="14"/>
  <c r="L608" i="14" s="1"/>
  <c r="J623" i="14"/>
  <c r="K623" i="14" s="1"/>
  <c r="J703" i="14"/>
  <c r="K703" i="14" s="1"/>
  <c r="J809" i="14"/>
  <c r="K809" i="14" s="1"/>
  <c r="J851" i="14"/>
  <c r="K851" i="14" s="1"/>
  <c r="J1062" i="14"/>
  <c r="L1062" i="14" s="1"/>
  <c r="J1201" i="14"/>
  <c r="L1201" i="14" s="1"/>
  <c r="J504" i="14"/>
  <c r="K504" i="14" s="1"/>
  <c r="J609" i="14"/>
  <c r="K609" i="14" s="1"/>
  <c r="J883" i="14"/>
  <c r="K883" i="14" s="1"/>
  <c r="K193" i="14"/>
  <c r="J348" i="14"/>
  <c r="K348" i="14" s="1"/>
  <c r="J490" i="14"/>
  <c r="K490" i="14" s="1"/>
  <c r="J606" i="14"/>
  <c r="K606" i="14" s="1"/>
  <c r="J701" i="14"/>
  <c r="K701" i="14" s="1"/>
  <c r="J728" i="14"/>
  <c r="K728" i="14" s="1"/>
  <c r="J849" i="14"/>
  <c r="K849" i="14" s="1"/>
  <c r="J896" i="14"/>
  <c r="K896" i="14" s="1"/>
  <c r="J939" i="14"/>
  <c r="K939" i="14" s="1"/>
  <c r="J947" i="14"/>
  <c r="K947" i="14" s="1"/>
  <c r="L997" i="14"/>
  <c r="J1060" i="14"/>
  <c r="K1060" i="14" s="1"/>
  <c r="J1092" i="14"/>
  <c r="K1092" i="14" s="1"/>
  <c r="J1107" i="14"/>
  <c r="L1107" i="14" s="1"/>
  <c r="J1133" i="14"/>
  <c r="L1133" i="14" s="1"/>
  <c r="J1183" i="14"/>
  <c r="L1183" i="14" s="1"/>
  <c r="J1199" i="14"/>
  <c r="K1199" i="14" s="1"/>
  <c r="J519" i="14"/>
  <c r="L519" i="14" s="1"/>
  <c r="J666" i="14"/>
  <c r="K666" i="14" s="1"/>
  <c r="J730" i="14"/>
  <c r="L730" i="14" s="1"/>
  <c r="J766" i="14"/>
  <c r="K766" i="14" s="1"/>
  <c r="J825" i="14"/>
  <c r="K825" i="14" s="1"/>
  <c r="J882" i="14"/>
  <c r="K882" i="14" s="1"/>
  <c r="J898" i="14"/>
  <c r="K898" i="14" s="1"/>
  <c r="J46" i="14"/>
  <c r="L46" i="14" s="1"/>
  <c r="J345" i="14"/>
  <c r="K345" i="14" s="1"/>
  <c r="J479" i="14"/>
  <c r="L479" i="14" s="1"/>
  <c r="J530" i="14"/>
  <c r="L530" i="14" s="1"/>
  <c r="J893" i="14"/>
  <c r="K893" i="14" s="1"/>
  <c r="J944" i="14"/>
  <c r="K944" i="14" s="1"/>
  <c r="J1057" i="14"/>
  <c r="K1057" i="14" s="1"/>
  <c r="J1073" i="14"/>
  <c r="K1073" i="14" s="1"/>
  <c r="J1089" i="14"/>
  <c r="K1089" i="14" s="1"/>
  <c r="J1130" i="14"/>
  <c r="K1130" i="14" s="1"/>
  <c r="L78" i="14"/>
  <c r="J562" i="14"/>
  <c r="L562" i="14" s="1"/>
  <c r="J767" i="14"/>
  <c r="L767" i="14" s="1"/>
  <c r="J794" i="14"/>
  <c r="K794" i="14" s="1"/>
  <c r="J810" i="14"/>
  <c r="K810" i="14" s="1"/>
  <c r="J826" i="14"/>
  <c r="K826" i="14" s="1"/>
  <c r="J950" i="14"/>
  <c r="K950" i="14" s="1"/>
  <c r="J1046" i="14"/>
  <c r="K1046" i="14" s="1"/>
  <c r="J1202" i="14"/>
  <c r="L1202" i="14" s="1"/>
  <c r="K301" i="14"/>
  <c r="J462" i="14"/>
  <c r="K462" i="14" s="1"/>
  <c r="J594" i="14"/>
  <c r="K594" i="14" s="1"/>
  <c r="J699" i="14"/>
  <c r="K699" i="14" s="1"/>
  <c r="J726" i="14"/>
  <c r="L726" i="14" s="1"/>
  <c r="J789" i="14"/>
  <c r="K789" i="14" s="1"/>
  <c r="J807" i="14"/>
  <c r="K807" i="14" s="1"/>
  <c r="J821" i="14"/>
  <c r="K821" i="14" s="1"/>
  <c r="L874" i="14"/>
  <c r="J804" i="14"/>
  <c r="K804" i="14" s="1"/>
  <c r="L214" i="14"/>
  <c r="J722" i="14"/>
  <c r="L722" i="14" s="1"/>
  <c r="H268" i="14"/>
  <c r="J818" i="14"/>
  <c r="K818" i="14" s="1"/>
  <c r="L199" i="14"/>
  <c r="J351" i="14"/>
  <c r="L351" i="14" s="1"/>
  <c r="J644" i="14"/>
  <c r="K644" i="14" s="1"/>
  <c r="J1061" i="14"/>
  <c r="K1061" i="14" s="1"/>
  <c r="J346" i="14"/>
  <c r="L346" i="14" s="1"/>
  <c r="J514" i="14"/>
  <c r="K514" i="14" s="1"/>
  <c r="J588" i="14"/>
  <c r="K588" i="14" s="1"/>
  <c r="J634" i="14"/>
  <c r="L634" i="14" s="1"/>
  <c r="J639" i="14"/>
  <c r="K639" i="14" s="1"/>
  <c r="J777" i="14"/>
  <c r="K777" i="14" s="1"/>
  <c r="J806" i="14"/>
  <c r="K806" i="14" s="1"/>
  <c r="J887" i="14"/>
  <c r="L887" i="14" s="1"/>
  <c r="J1011" i="14"/>
  <c r="L1011" i="14" s="1"/>
  <c r="J1056" i="14"/>
  <c r="K1056" i="14" s="1"/>
  <c r="J1067" i="14"/>
  <c r="K1067" i="14" s="1"/>
  <c r="J1082" i="14"/>
  <c r="K1082" i="14" s="1"/>
  <c r="J1099" i="14"/>
  <c r="L1099" i="14" s="1"/>
  <c r="J1174" i="14"/>
  <c r="K1174" i="14" s="1"/>
  <c r="J1176" i="14"/>
  <c r="L1176" i="14" s="1"/>
  <c r="J451" i="14"/>
  <c r="K451" i="14" s="1"/>
  <c r="J536" i="14"/>
  <c r="K536" i="14" s="1"/>
  <c r="J1068" i="14"/>
  <c r="K1068" i="14" s="1"/>
  <c r="J629" i="14"/>
  <c r="L629" i="14" s="1"/>
  <c r="H67" i="14"/>
  <c r="K186" i="14"/>
  <c r="J515" i="14"/>
  <c r="K515" i="14" s="1"/>
  <c r="K406" i="14"/>
  <c r="J448" i="14"/>
  <c r="L386" i="14"/>
  <c r="J971" i="14"/>
  <c r="L971" i="14" s="1"/>
  <c r="J1136" i="14"/>
  <c r="K1136" i="14" s="1"/>
  <c r="H175" i="14"/>
  <c r="J344" i="14"/>
  <c r="K344" i="14" s="1"/>
  <c r="J770" i="14"/>
  <c r="K770" i="14" s="1"/>
  <c r="H128" i="14"/>
  <c r="G248" i="14"/>
  <c r="J28" i="14"/>
  <c r="L28" i="14" s="1"/>
  <c r="J36" i="14"/>
  <c r="L36" i="14" s="1"/>
  <c r="H101" i="14"/>
  <c r="J337" i="14"/>
  <c r="K337" i="14" s="1"/>
  <c r="L401" i="14"/>
  <c r="J625" i="14"/>
  <c r="K625" i="14" s="1"/>
  <c r="J641" i="14"/>
  <c r="K641" i="14" s="1"/>
  <c r="J678" i="14"/>
  <c r="K678" i="14" s="1"/>
  <c r="J716" i="14"/>
  <c r="K716" i="14" s="1"/>
  <c r="J732" i="14"/>
  <c r="K732" i="14" s="1"/>
  <c r="J742" i="14"/>
  <c r="K742" i="14" s="1"/>
  <c r="J795" i="14"/>
  <c r="K795" i="14" s="1"/>
  <c r="J827" i="14"/>
  <c r="L827" i="14" s="1"/>
  <c r="J894" i="14"/>
  <c r="K894" i="14" s="1"/>
  <c r="J945" i="14"/>
  <c r="L945" i="14" s="1"/>
  <c r="J1041" i="14"/>
  <c r="K1041" i="14" s="1"/>
  <c r="J1074" i="14"/>
  <c r="L1074" i="14" s="1"/>
  <c r="J1106" i="14"/>
  <c r="L1106" i="14" s="1"/>
  <c r="J1131" i="14"/>
  <c r="K1131" i="14" s="1"/>
  <c r="J1181" i="14"/>
  <c r="K1181" i="14" s="1"/>
  <c r="J1197" i="14"/>
  <c r="L1197" i="14" s="1"/>
  <c r="J715" i="14"/>
  <c r="L715" i="14" s="1"/>
  <c r="K109" i="14"/>
  <c r="H184" i="14"/>
  <c r="K306" i="14"/>
  <c r="L411" i="14"/>
  <c r="J1194" i="14"/>
  <c r="K1194" i="14" s="1"/>
  <c r="K271" i="14"/>
  <c r="G142" i="14"/>
  <c r="H244" i="14"/>
  <c r="J561" i="14"/>
  <c r="L561" i="14" s="1"/>
  <c r="J1042" i="14"/>
  <c r="K1042" i="14" s="1"/>
  <c r="H62" i="14"/>
  <c r="H251" i="14"/>
  <c r="K309" i="14"/>
  <c r="G78" i="14"/>
  <c r="H112" i="14"/>
  <c r="G266" i="14"/>
  <c r="K310" i="14"/>
  <c r="J773" i="14"/>
  <c r="L773" i="14" s="1"/>
  <c r="J1084" i="14"/>
  <c r="L1084" i="14" s="1"/>
  <c r="J1126" i="14"/>
  <c r="K1126" i="14" s="1"/>
  <c r="K315" i="14"/>
  <c r="J335" i="14"/>
  <c r="K335" i="14" s="1"/>
  <c r="J532" i="14"/>
  <c r="K532" i="14" s="1"/>
  <c r="J725" i="14"/>
  <c r="K725" i="14" s="1"/>
  <c r="J797" i="14"/>
  <c r="K797" i="14" s="1"/>
  <c r="J813" i="14"/>
  <c r="K813" i="14" s="1"/>
  <c r="J901" i="14"/>
  <c r="J966" i="14"/>
  <c r="J1138" i="14"/>
  <c r="K1138" i="14" s="1"/>
  <c r="K82" i="14"/>
  <c r="K160" i="14"/>
  <c r="J1188" i="14"/>
  <c r="L1188" i="14" s="1"/>
  <c r="H111" i="14"/>
  <c r="J632" i="14"/>
  <c r="K632" i="14" s="1"/>
  <c r="J968" i="14"/>
  <c r="L968" i="14" s="1"/>
  <c r="J1018" i="14"/>
  <c r="K1018" i="14" s="1"/>
  <c r="G197" i="14"/>
  <c r="K284" i="14"/>
  <c r="L296" i="14"/>
  <c r="J648" i="14"/>
  <c r="K648" i="14" s="1"/>
  <c r="J659" i="14"/>
  <c r="K659" i="14" s="1"/>
  <c r="J846" i="14"/>
  <c r="K846" i="14" s="1"/>
  <c r="L926" i="14"/>
  <c r="J1063" i="14"/>
  <c r="K1063" i="14" s="1"/>
  <c r="J1135" i="14"/>
  <c r="K1135" i="14" s="1"/>
  <c r="J26" i="14"/>
  <c r="K26" i="14" s="1"/>
  <c r="H65" i="14"/>
  <c r="H106" i="14"/>
  <c r="H280" i="14"/>
  <c r="J286" i="14"/>
  <c r="L286" i="14" s="1"/>
  <c r="J333" i="14"/>
  <c r="K333" i="14" s="1"/>
  <c r="J593" i="14"/>
  <c r="L593" i="14" s="1"/>
  <c r="J649" i="14"/>
  <c r="L649" i="14" s="1"/>
  <c r="J681" i="14"/>
  <c r="K681" i="14" s="1"/>
  <c r="J702" i="14"/>
  <c r="K702" i="14" s="1"/>
  <c r="J713" i="14"/>
  <c r="K713" i="14" s="1"/>
  <c r="J743" i="14"/>
  <c r="K743" i="14" s="1"/>
  <c r="J808" i="14"/>
  <c r="K808" i="14" s="1"/>
  <c r="J822" i="14"/>
  <c r="K822" i="14" s="1"/>
  <c r="J873" i="14"/>
  <c r="K873" i="14" s="1"/>
  <c r="J878" i="14"/>
  <c r="K878" i="14" s="1"/>
  <c r="J1043" i="14"/>
  <c r="K1043" i="14" s="1"/>
  <c r="J1091" i="14"/>
  <c r="L1091" i="14" s="1"/>
  <c r="J1097" i="14"/>
  <c r="L1097" i="14" s="1"/>
  <c r="J1180" i="14"/>
  <c r="K1180" i="14" s="1"/>
  <c r="J1185" i="14"/>
  <c r="K1185" i="14" s="1"/>
  <c r="J40" i="14"/>
  <c r="K40" i="14" s="1"/>
  <c r="H100" i="14"/>
  <c r="G159" i="14"/>
  <c r="G181" i="14"/>
  <c r="L406" i="14"/>
  <c r="J463" i="14"/>
  <c r="L463" i="14" s="1"/>
  <c r="J510" i="14"/>
  <c r="L510" i="14" s="1"/>
  <c r="J531" i="14"/>
  <c r="K531" i="14" s="1"/>
  <c r="J573" i="14"/>
  <c r="L573" i="14" s="1"/>
  <c r="J698" i="14"/>
  <c r="K698" i="14" s="1"/>
  <c r="J724" i="14"/>
  <c r="K724" i="14" s="1"/>
  <c r="J796" i="14"/>
  <c r="K796" i="14" s="1"/>
  <c r="J812" i="14"/>
  <c r="K812" i="14" s="1"/>
  <c r="J848" i="14"/>
  <c r="L848" i="14" s="1"/>
  <c r="J889" i="14"/>
  <c r="K889" i="14" s="1"/>
  <c r="J949" i="14"/>
  <c r="K949" i="14" s="1"/>
  <c r="J1050" i="14"/>
  <c r="K1050" i="14" s="1"/>
  <c r="J1070" i="14"/>
  <c r="K1070" i="14" s="1"/>
  <c r="J1137" i="14"/>
  <c r="K1137" i="14" s="1"/>
  <c r="J1186" i="14"/>
  <c r="K1186" i="14" s="1"/>
  <c r="H73" i="14"/>
  <c r="G61" i="14"/>
  <c r="J1015" i="14"/>
  <c r="K1015" i="14" s="1"/>
  <c r="H281" i="14"/>
  <c r="J646" i="14"/>
  <c r="L646" i="14" s="1"/>
  <c r="J750" i="14"/>
  <c r="K750" i="14" s="1"/>
  <c r="J1045" i="14"/>
  <c r="L1045" i="14" s="1"/>
  <c r="G68" i="14"/>
  <c r="L71" i="14"/>
  <c r="K189" i="14"/>
  <c r="L376" i="14"/>
  <c r="J512" i="14"/>
  <c r="K512" i="14" s="1"/>
  <c r="J1052" i="14"/>
  <c r="L1052" i="14" s="1"/>
  <c r="J1016" i="14"/>
  <c r="L1016" i="14" s="1"/>
  <c r="H196" i="14"/>
  <c r="L210" i="14"/>
  <c r="J684" i="14"/>
  <c r="K684" i="14" s="1"/>
  <c r="J946" i="14"/>
  <c r="K946" i="14" s="1"/>
  <c r="G141" i="14"/>
  <c r="H190" i="14"/>
  <c r="K319" i="14"/>
  <c r="J560" i="14"/>
  <c r="K560" i="14" s="1"/>
  <c r="J637" i="14"/>
  <c r="K637" i="14" s="1"/>
  <c r="J820" i="14"/>
  <c r="L820" i="14" s="1"/>
  <c r="L156" i="14"/>
  <c r="G265" i="14"/>
  <c r="J461" i="14"/>
  <c r="K461" i="14" s="1"/>
  <c r="J576" i="14"/>
  <c r="L576" i="14" s="1"/>
  <c r="J1012" i="14"/>
  <c r="K1012" i="14" s="1"/>
  <c r="J340" i="14"/>
  <c r="L340" i="14" s="1"/>
  <c r="L407" i="14"/>
  <c r="J526" i="14"/>
  <c r="L526" i="14" s="1"/>
  <c r="J537" i="14"/>
  <c r="L537" i="14" s="1"/>
  <c r="J558" i="14"/>
  <c r="K558" i="14" s="1"/>
  <c r="J563" i="14"/>
  <c r="K563" i="14" s="1"/>
  <c r="J635" i="14"/>
  <c r="K635" i="14" s="1"/>
  <c r="J640" i="14"/>
  <c r="K640" i="14" s="1"/>
  <c r="J645" i="14"/>
  <c r="K645" i="14" s="1"/>
  <c r="J744" i="14"/>
  <c r="K744" i="14" s="1"/>
  <c r="J823" i="14"/>
  <c r="L823" i="14" s="1"/>
  <c r="J854" i="14"/>
  <c r="K854" i="14" s="1"/>
  <c r="J895" i="14"/>
  <c r="L895" i="14" s="1"/>
  <c r="J1071" i="14"/>
  <c r="L1071" i="14" s="1"/>
  <c r="J1086" i="14"/>
  <c r="K1086" i="14" s="1"/>
  <c r="J1103" i="14"/>
  <c r="K1103" i="14" s="1"/>
  <c r="J1128" i="14"/>
  <c r="K1128" i="14" s="1"/>
  <c r="J1150" i="14"/>
  <c r="K1150" i="14" s="1"/>
  <c r="J1192" i="14"/>
  <c r="K1192" i="14" s="1"/>
  <c r="K776" i="14"/>
  <c r="L776" i="14"/>
  <c r="G64" i="14"/>
  <c r="H64" i="14"/>
  <c r="H169" i="14"/>
  <c r="J626" i="14"/>
  <c r="L626" i="14" s="1"/>
  <c r="K954" i="14"/>
  <c r="G103" i="14"/>
  <c r="G249" i="14"/>
  <c r="K416" i="14"/>
  <c r="H198" i="14"/>
  <c r="L211" i="14"/>
  <c r="L297" i="14"/>
  <c r="K308" i="14"/>
  <c r="L308" i="14"/>
  <c r="K124" i="14"/>
  <c r="K176" i="14"/>
  <c r="G74" i="14"/>
  <c r="L157" i="14"/>
  <c r="G194" i="14"/>
  <c r="L246" i="14"/>
  <c r="L287" i="14"/>
  <c r="J568" i="14"/>
  <c r="K568" i="14" s="1"/>
  <c r="J664" i="14"/>
  <c r="J856" i="14"/>
  <c r="K856" i="14" s="1"/>
  <c r="H171" i="14"/>
  <c r="K212" i="14"/>
  <c r="G243" i="14"/>
  <c r="H243" i="14"/>
  <c r="K300" i="14"/>
  <c r="L300" i="14"/>
  <c r="J352" i="14"/>
  <c r="L417" i="14"/>
  <c r="J523" i="14"/>
  <c r="K523" i="14" s="1"/>
  <c r="J1038" i="14"/>
  <c r="K1038" i="14" s="1"/>
  <c r="L1087" i="14"/>
  <c r="K1087" i="14"/>
  <c r="G69" i="14"/>
  <c r="K74" i="14"/>
  <c r="L74" i="14"/>
  <c r="G125" i="14"/>
  <c r="G144" i="14"/>
  <c r="G158" i="14"/>
  <c r="J493" i="14"/>
  <c r="L493" i="14" s="1"/>
  <c r="L1055" i="14"/>
  <c r="J1069" i="14"/>
  <c r="K1069" i="14" s="1"/>
  <c r="J338" i="14"/>
  <c r="K338" i="14" s="1"/>
  <c r="J343" i="14"/>
  <c r="K343" i="14" s="1"/>
  <c r="J509" i="14"/>
  <c r="K509" i="14" s="1"/>
  <c r="J660" i="14"/>
  <c r="K660" i="14" s="1"/>
  <c r="J748" i="14"/>
  <c r="L748" i="14" s="1"/>
  <c r="J832" i="14"/>
  <c r="K832" i="14" s="1"/>
  <c r="J847" i="14"/>
  <c r="L847" i="14" s="1"/>
  <c r="G140" i="14"/>
  <c r="H153" i="14"/>
  <c r="J458" i="14"/>
  <c r="K458" i="14" s="1"/>
  <c r="L520" i="14"/>
  <c r="J828" i="14"/>
  <c r="L828" i="14" s="1"/>
  <c r="J1075" i="14"/>
  <c r="L1075" i="14" s="1"/>
  <c r="J1094" i="14"/>
  <c r="L1094" i="14" s="1"/>
  <c r="K1142" i="14"/>
  <c r="J1148" i="14"/>
  <c r="L1148" i="14" s="1"/>
  <c r="J1175" i="14"/>
  <c r="K1175" i="14" s="1"/>
  <c r="G71" i="14"/>
  <c r="H71" i="14"/>
  <c r="K190" i="14"/>
  <c r="K281" i="14"/>
  <c r="J489" i="14"/>
  <c r="K489" i="14" s="1"/>
  <c r="J661" i="14"/>
  <c r="J721" i="14"/>
  <c r="K721" i="14" s="1"/>
  <c r="J749" i="14"/>
  <c r="K749" i="14" s="1"/>
  <c r="J801" i="14"/>
  <c r="K801" i="14" s="1"/>
  <c r="G154" i="14"/>
  <c r="H154" i="14"/>
  <c r="J1155" i="14"/>
  <c r="K1155" i="14" s="1"/>
  <c r="L254" i="14"/>
  <c r="J791" i="14"/>
  <c r="K791" i="14" s="1"/>
  <c r="L307" i="14"/>
  <c r="J1193" i="14"/>
  <c r="K1193" i="14" s="1"/>
  <c r="J44" i="14"/>
  <c r="K44" i="14" s="1"/>
  <c r="G129" i="14"/>
  <c r="J792" i="14"/>
  <c r="K792" i="14" s="1"/>
  <c r="G63" i="14"/>
  <c r="H202" i="14"/>
  <c r="H253" i="14"/>
  <c r="J459" i="14"/>
  <c r="L459" i="14" s="1"/>
  <c r="J464" i="14"/>
  <c r="L464" i="14" s="1"/>
  <c r="J630" i="14"/>
  <c r="K630" i="14" s="1"/>
  <c r="J888" i="14"/>
  <c r="L888" i="14" s="1"/>
  <c r="J1134" i="14"/>
  <c r="L1134" i="14" s="1"/>
  <c r="J1112" i="14"/>
  <c r="K1112" i="14" s="1"/>
  <c r="L374" i="14"/>
  <c r="L875" i="14"/>
  <c r="K875" i="14"/>
  <c r="J1102" i="14"/>
  <c r="K1102" i="14" s="1"/>
  <c r="L920" i="14"/>
  <c r="E927" i="14"/>
  <c r="L49" i="14"/>
  <c r="L101" i="14"/>
  <c r="J1184" i="14"/>
  <c r="K1184" i="14" s="1"/>
  <c r="J697" i="14"/>
  <c r="K697" i="14" s="1"/>
  <c r="J1108" i="14"/>
  <c r="K1108" i="14" s="1"/>
  <c r="J1013" i="14"/>
  <c r="K1013" i="14" s="1"/>
  <c r="J45" i="14"/>
  <c r="K45" i="14" s="1"/>
  <c r="G99" i="14"/>
  <c r="G108" i="14"/>
  <c r="K125" i="14"/>
  <c r="H137" i="14"/>
  <c r="K195" i="14"/>
  <c r="G204" i="14"/>
  <c r="H209" i="14"/>
  <c r="L213" i="14"/>
  <c r="H278" i="14"/>
  <c r="K316" i="14"/>
  <c r="K412" i="14"/>
  <c r="J477" i="14"/>
  <c r="K477" i="14" s="1"/>
  <c r="J604" i="14"/>
  <c r="K604" i="14" s="1"/>
  <c r="J665" i="14"/>
  <c r="J1076" i="14"/>
  <c r="K1076" i="14" s="1"/>
  <c r="J1095" i="14"/>
  <c r="K1095" i="14" s="1"/>
  <c r="J1132" i="14"/>
  <c r="K1132" i="14" s="1"/>
  <c r="J1113" i="14"/>
  <c r="K1113" i="14" s="1"/>
  <c r="J1127" i="14"/>
  <c r="K1127" i="14" s="1"/>
  <c r="J1190" i="14"/>
  <c r="L1190" i="14" s="1"/>
  <c r="J565" i="14"/>
  <c r="J803" i="14"/>
  <c r="L803" i="14" s="1"/>
  <c r="J852" i="14"/>
  <c r="K852" i="14" s="1"/>
  <c r="J970" i="14"/>
  <c r="K970" i="14" s="1"/>
  <c r="J30" i="14"/>
  <c r="K30" i="14" s="1"/>
  <c r="K183" i="14"/>
  <c r="J871" i="14"/>
  <c r="K871" i="14" s="1"/>
  <c r="G122" i="14"/>
  <c r="L129" i="14"/>
  <c r="G178" i="14"/>
  <c r="G187" i="14"/>
  <c r="G199" i="14"/>
  <c r="K243" i="14"/>
  <c r="G282" i="14"/>
  <c r="J328" i="14"/>
  <c r="K328" i="14" s="1"/>
  <c r="K375" i="14"/>
  <c r="L412" i="14"/>
  <c r="K436" i="14"/>
  <c r="J524" i="14"/>
  <c r="K524" i="14" s="1"/>
  <c r="J538" i="14"/>
  <c r="J590" i="14"/>
  <c r="L590" i="14" s="1"/>
  <c r="J714" i="14"/>
  <c r="K714" i="14" s="1"/>
  <c r="J764" i="14"/>
  <c r="J768" i="14"/>
  <c r="K768" i="14" s="1"/>
  <c r="J811" i="14"/>
  <c r="K811" i="14" s="1"/>
  <c r="J853" i="14"/>
  <c r="K853" i="14" s="1"/>
  <c r="J885" i="14"/>
  <c r="K885" i="14" s="1"/>
  <c r="L903" i="14"/>
  <c r="L925" i="14"/>
  <c r="K984" i="14"/>
  <c r="K1005" i="14"/>
  <c r="J1080" i="14"/>
  <c r="K1080" i="14" s="1"/>
  <c r="J1109" i="14"/>
  <c r="K1109" i="14" s="1"/>
  <c r="J1114" i="14"/>
  <c r="L1114" i="14" s="1"/>
  <c r="J1140" i="14"/>
  <c r="K1140" i="14" s="1"/>
  <c r="J1177" i="14"/>
  <c r="J34" i="14"/>
  <c r="L34" i="14" s="1"/>
  <c r="J31" i="14"/>
  <c r="K31" i="14" s="1"/>
  <c r="G104" i="14"/>
  <c r="H126" i="14"/>
  <c r="H138" i="14"/>
  <c r="G192" i="14"/>
  <c r="L317" i="14"/>
  <c r="J452" i="14"/>
  <c r="K452" i="14" s="1"/>
  <c r="J511" i="14"/>
  <c r="L511" i="14" s="1"/>
  <c r="J525" i="14"/>
  <c r="L525" i="14" s="1"/>
  <c r="J534" i="14"/>
  <c r="L534" i="14" s="1"/>
  <c r="J662" i="14"/>
  <c r="J719" i="14"/>
  <c r="J723" i="14"/>
  <c r="K723" i="14" s="1"/>
  <c r="J778" i="14"/>
  <c r="K778" i="14" s="1"/>
  <c r="J798" i="14"/>
  <c r="L798" i="14" s="1"/>
  <c r="J816" i="14"/>
  <c r="K816" i="14" s="1"/>
  <c r="J845" i="14"/>
  <c r="K845" i="14" s="1"/>
  <c r="J872" i="14"/>
  <c r="K872" i="14" s="1"/>
  <c r="J877" i="14"/>
  <c r="K877" i="14" s="1"/>
  <c r="J951" i="14"/>
  <c r="K951" i="14" s="1"/>
  <c r="J1072" i="14"/>
  <c r="L1072" i="14" s="1"/>
  <c r="J1096" i="14"/>
  <c r="J1105" i="14"/>
  <c r="J1110" i="14"/>
  <c r="K1110" i="14" s="1"/>
  <c r="J1115" i="14"/>
  <c r="K1115" i="14" s="1"/>
  <c r="J1129" i="14"/>
  <c r="K1129" i="14" s="1"/>
  <c r="J1146" i="14"/>
  <c r="K1146" i="14" s="1"/>
  <c r="J1182" i="14"/>
  <c r="L1182" i="14" s="1"/>
  <c r="J1196" i="14"/>
  <c r="L1196" i="14" s="1"/>
  <c r="J460" i="14"/>
  <c r="L460" i="14" s="1"/>
  <c r="L13" i="14"/>
  <c r="K72" i="14"/>
  <c r="L76" i="14"/>
  <c r="K104" i="14"/>
  <c r="G123" i="14"/>
  <c r="G156" i="14"/>
  <c r="L159" i="14"/>
  <c r="H272" i="14"/>
  <c r="G284" i="14"/>
  <c r="L303" i="14"/>
  <c r="J886" i="14"/>
  <c r="L998" i="14"/>
  <c r="K1027" i="14"/>
  <c r="J1051" i="14"/>
  <c r="L1051" i="14" s="1"/>
  <c r="J1064" i="14"/>
  <c r="L1064" i="14" s="1"/>
  <c r="J1141" i="14"/>
  <c r="K1141" i="14" s="1"/>
  <c r="L1152" i="14"/>
  <c r="J1187" i="14"/>
  <c r="L1187" i="14" s="1"/>
  <c r="J334" i="14"/>
  <c r="L334" i="14" s="1"/>
  <c r="J589" i="14"/>
  <c r="K589" i="14" s="1"/>
  <c r="L924" i="14"/>
  <c r="K1019" i="14"/>
  <c r="G127" i="14"/>
  <c r="G139" i="14"/>
  <c r="G143" i="14"/>
  <c r="K184" i="14"/>
  <c r="H193" i="14"/>
  <c r="K196" i="14"/>
  <c r="K205" i="14"/>
  <c r="G211" i="14"/>
  <c r="L295" i="14"/>
  <c r="K311" i="14"/>
  <c r="J521" i="14"/>
  <c r="L521" i="14" s="1"/>
  <c r="J638" i="14"/>
  <c r="L638" i="14" s="1"/>
  <c r="K910" i="14"/>
  <c r="J880" i="14"/>
  <c r="K880" i="14" s="1"/>
  <c r="L288" i="14"/>
  <c r="J505" i="14"/>
  <c r="K505" i="14" s="1"/>
  <c r="J772" i="14"/>
  <c r="L772" i="14" s="1"/>
  <c r="J965" i="14"/>
  <c r="K965" i="14" s="1"/>
  <c r="J1039" i="14"/>
  <c r="L1039" i="14" s="1"/>
  <c r="J39" i="14"/>
  <c r="L39" i="14" s="1"/>
  <c r="K200" i="14"/>
  <c r="H252" i="14"/>
  <c r="H269" i="14"/>
  <c r="K272" i="14"/>
  <c r="J341" i="14"/>
  <c r="K341" i="14" s="1"/>
  <c r="J517" i="14"/>
  <c r="L517" i="14" s="1"/>
  <c r="J592" i="14"/>
  <c r="L592" i="14" s="1"/>
  <c r="J663" i="14"/>
  <c r="K663" i="14" s="1"/>
  <c r="J667" i="14"/>
  <c r="L667" i="14" s="1"/>
  <c r="J677" i="14"/>
  <c r="K677" i="14" s="1"/>
  <c r="J761" i="14"/>
  <c r="K761" i="14" s="1"/>
  <c r="J775" i="14"/>
  <c r="L775" i="14" s="1"/>
  <c r="J790" i="14"/>
  <c r="K790" i="14" s="1"/>
  <c r="J1065" i="14"/>
  <c r="J1085" i="14"/>
  <c r="J1088" i="14"/>
  <c r="L1088" i="14" s="1"/>
  <c r="J1111" i="14"/>
  <c r="J1153" i="14"/>
  <c r="K1153" i="14" s="1"/>
  <c r="L1093" i="14"/>
  <c r="K1093" i="14"/>
  <c r="H254" i="14"/>
  <c r="G254" i="14"/>
  <c r="L68" i="14"/>
  <c r="K68" i="14"/>
  <c r="L299" i="14"/>
  <c r="K299" i="14"/>
  <c r="L171" i="14"/>
  <c r="K171" i="14"/>
  <c r="L108" i="14"/>
  <c r="K108" i="14"/>
  <c r="K280" i="14"/>
  <c r="L280" i="14"/>
  <c r="L892" i="14"/>
  <c r="K892" i="14"/>
  <c r="G206" i="14"/>
  <c r="G70" i="14"/>
  <c r="L194" i="14"/>
  <c r="H182" i="14"/>
  <c r="L276" i="14"/>
  <c r="G66" i="14"/>
  <c r="G98" i="14"/>
  <c r="H174" i="14"/>
  <c r="G174" i="14"/>
  <c r="L413" i="14"/>
  <c r="L607" i="14"/>
  <c r="H102" i="14"/>
  <c r="K144" i="14"/>
  <c r="K178" i="14"/>
  <c r="H186" i="14"/>
  <c r="G246" i="14"/>
  <c r="H274" i="14"/>
  <c r="L318" i="14"/>
  <c r="K934" i="14"/>
  <c r="L934" i="14"/>
  <c r="L1006" i="14"/>
  <c r="L66" i="14"/>
  <c r="K66" i="14"/>
  <c r="L102" i="14"/>
  <c r="K102" i="14"/>
  <c r="G183" i="14"/>
  <c r="H183" i="14"/>
  <c r="K274" i="14"/>
  <c r="L274" i="14"/>
  <c r="L304" i="14"/>
  <c r="J456" i="14"/>
  <c r="K456" i="14" s="1"/>
  <c r="L799" i="14"/>
  <c r="K799" i="14"/>
  <c r="H172" i="14"/>
  <c r="H191" i="14"/>
  <c r="J760" i="14"/>
  <c r="J1090" i="14"/>
  <c r="K1090" i="14" s="1"/>
  <c r="K244" i="14"/>
  <c r="H279" i="14"/>
  <c r="L610" i="14"/>
  <c r="H189" i="14"/>
  <c r="G212" i="14"/>
  <c r="G247" i="14"/>
  <c r="H247" i="14"/>
  <c r="L140" i="14"/>
  <c r="L305" i="14"/>
  <c r="K305" i="14"/>
  <c r="K42" i="14"/>
  <c r="L63" i="14"/>
  <c r="K63" i="14"/>
  <c r="H76" i="14"/>
  <c r="L111" i="14"/>
  <c r="K175" i="14"/>
  <c r="H205" i="14"/>
  <c r="G205" i="14"/>
  <c r="K209" i="14"/>
  <c r="J533" i="14"/>
  <c r="K533" i="14" s="1"/>
  <c r="K731" i="14"/>
  <c r="G188" i="14"/>
  <c r="G109" i="14"/>
  <c r="H109" i="14"/>
  <c r="L143" i="14"/>
  <c r="G195" i="14"/>
  <c r="H195" i="14"/>
  <c r="H276" i="14"/>
  <c r="K418" i="14"/>
  <c r="L418" i="14"/>
  <c r="L765" i="14"/>
  <c r="K765" i="14"/>
  <c r="J824" i="14"/>
  <c r="G105" i="14"/>
  <c r="K566" i="14"/>
  <c r="L364" i="14"/>
  <c r="J899" i="14"/>
  <c r="K899" i="14" s="1"/>
  <c r="G210" i="14"/>
  <c r="H210" i="14"/>
  <c r="H270" i="14"/>
  <c r="G270" i="14"/>
  <c r="K287" i="14"/>
  <c r="K313" i="14"/>
  <c r="L313" i="14"/>
  <c r="K336" i="14"/>
  <c r="L336" i="14"/>
  <c r="H250" i="14"/>
  <c r="L282" i="14"/>
  <c r="L1195" i="14"/>
  <c r="K1195" i="14"/>
  <c r="G160" i="14"/>
  <c r="L948" i="14"/>
  <c r="K948" i="14"/>
  <c r="J1098" i="14"/>
  <c r="K1098" i="14" s="1"/>
  <c r="H157" i="14"/>
  <c r="G157" i="14"/>
  <c r="K834" i="14"/>
  <c r="L1008" i="14"/>
  <c r="K1008" i="14"/>
  <c r="L1179" i="14"/>
  <c r="K1179" i="14"/>
  <c r="G179" i="14"/>
  <c r="K320" i="14"/>
  <c r="L320" i="14"/>
  <c r="J1048" i="14"/>
  <c r="K1048" i="14" s="1"/>
  <c r="G124" i="14"/>
  <c r="H124" i="14"/>
  <c r="H176" i="14"/>
  <c r="G176" i="14"/>
  <c r="G201" i="14"/>
  <c r="H201" i="14"/>
  <c r="L253" i="14"/>
  <c r="L298" i="14"/>
  <c r="L289" i="14"/>
  <c r="G213" i="14"/>
  <c r="L247" i="14"/>
  <c r="K247" i="14"/>
  <c r="G277" i="14"/>
  <c r="K400" i="14"/>
  <c r="K127" i="14"/>
  <c r="L127" i="14"/>
  <c r="K172" i="14"/>
  <c r="G203" i="14"/>
  <c r="G267" i="14"/>
  <c r="L292" i="14"/>
  <c r="K292" i="14"/>
  <c r="L314" i="14"/>
  <c r="K321" i="14"/>
  <c r="H113" i="14"/>
  <c r="L179" i="14"/>
  <c r="K206" i="14"/>
  <c r="K374" i="14"/>
  <c r="J457" i="14"/>
  <c r="K457" i="14" s="1"/>
  <c r="J762" i="14"/>
  <c r="K762" i="14" s="1"/>
  <c r="J769" i="14"/>
  <c r="J858" i="14"/>
  <c r="K881" i="14"/>
  <c r="J952" i="14"/>
  <c r="J32" i="14"/>
  <c r="K32" i="14" s="1"/>
  <c r="K64" i="14"/>
  <c r="G72" i="14"/>
  <c r="G75" i="14"/>
  <c r="L87" i="14"/>
  <c r="K100" i="14"/>
  <c r="G110" i="14"/>
  <c r="K139" i="14"/>
  <c r="H173" i="14"/>
  <c r="G177" i="14"/>
  <c r="G200" i="14"/>
  <c r="L248" i="14"/>
  <c r="L267" i="14"/>
  <c r="K295" i="14"/>
  <c r="L302" i="14"/>
  <c r="L349" i="14"/>
  <c r="J447" i="14"/>
  <c r="K447" i="14" s="1"/>
  <c r="L528" i="14"/>
  <c r="K861" i="14"/>
  <c r="J1078" i="14"/>
  <c r="K1078" i="14" s="1"/>
  <c r="K113" i="14"/>
  <c r="L113" i="14"/>
  <c r="H180" i="14"/>
  <c r="G180" i="14"/>
  <c r="H214" i="14"/>
  <c r="G214" i="14"/>
  <c r="G271" i="14"/>
  <c r="G275" i="14"/>
  <c r="H275" i="14"/>
  <c r="L884" i="14"/>
  <c r="L279" i="14"/>
  <c r="K342" i="14"/>
  <c r="L342" i="14"/>
  <c r="H207" i="14"/>
  <c r="L322" i="14"/>
  <c r="L729" i="14"/>
  <c r="G107" i="14"/>
  <c r="H155" i="14"/>
  <c r="G170" i="14"/>
  <c r="G208" i="14"/>
  <c r="J350" i="14"/>
  <c r="K350" i="14" s="1"/>
  <c r="L410" i="14"/>
  <c r="K437" i="14"/>
  <c r="J478" i="14"/>
  <c r="J529" i="14"/>
  <c r="J569" i="14"/>
  <c r="J506" i="14"/>
  <c r="K506" i="14" s="1"/>
  <c r="J605" i="14"/>
  <c r="K605" i="14" s="1"/>
  <c r="J793" i="14"/>
  <c r="J1077" i="14"/>
  <c r="E397" i="14"/>
  <c r="L397" i="14" s="1"/>
  <c r="H1027" i="14"/>
  <c r="G1027" i="14"/>
  <c r="K268" i="14"/>
  <c r="L932" i="14"/>
  <c r="K932" i="14"/>
  <c r="J1147" i="14"/>
  <c r="L1147" i="14" s="1"/>
  <c r="J1040" i="14"/>
  <c r="J1047" i="14"/>
  <c r="K1047" i="14" s="1"/>
  <c r="J326" i="14"/>
  <c r="K326" i="14" s="1"/>
  <c r="J516" i="14"/>
  <c r="J570" i="14"/>
  <c r="J700" i="14"/>
  <c r="K700" i="14" s="1"/>
  <c r="J850" i="14"/>
  <c r="J1154" i="14"/>
  <c r="L891" i="14"/>
  <c r="J449" i="14"/>
  <c r="K449" i="14" s="1"/>
  <c r="J567" i="14"/>
  <c r="K567" i="14" s="1"/>
  <c r="J805" i="14"/>
  <c r="J1151" i="14"/>
  <c r="K1151" i="14" s="1"/>
  <c r="K683" i="14" l="1"/>
  <c r="K494" i="14"/>
  <c r="L453" i="14"/>
  <c r="K1017" i="14"/>
  <c r="L902" i="14"/>
  <c r="K1054" i="14"/>
  <c r="K855" i="14"/>
  <c r="K685" i="14"/>
  <c r="K1143" i="14"/>
  <c r="L1198" i="14"/>
  <c r="J378" i="14"/>
  <c r="L378" i="14" s="1"/>
  <c r="K897" i="14"/>
  <c r="K679" i="14"/>
  <c r="L647" i="14"/>
  <c r="K972" i="14"/>
  <c r="K802" i="14"/>
  <c r="K611" i="14"/>
  <c r="L454" i="14"/>
  <c r="K967" i="14"/>
  <c r="L833" i="14"/>
  <c r="K1189" i="14"/>
  <c r="K817" i="14"/>
  <c r="K564" i="14"/>
  <c r="K43" i="14"/>
  <c r="L539" i="14"/>
  <c r="K680" i="14"/>
  <c r="K727" i="14"/>
  <c r="K718" i="14"/>
  <c r="L746" i="14"/>
  <c r="L643" i="14"/>
  <c r="K631" i="14"/>
  <c r="L575" i="14"/>
  <c r="K627" i="14"/>
  <c r="L859" i="14"/>
  <c r="K927" i="14"/>
  <c r="E921" i="14"/>
  <c r="K1058" i="14"/>
  <c r="K1134" i="14"/>
  <c r="K507" i="14"/>
  <c r="K455" i="14"/>
  <c r="L1081" i="14"/>
  <c r="K722" i="14"/>
  <c r="K1139" i="14"/>
  <c r="K1014" i="14"/>
  <c r="J987" i="14"/>
  <c r="L987" i="14" s="1"/>
  <c r="K1156" i="14"/>
  <c r="K435" i="14"/>
  <c r="K612" i="14"/>
  <c r="J994" i="14"/>
  <c r="L994" i="14" s="1"/>
  <c r="L703" i="14"/>
  <c r="K608" i="14"/>
  <c r="K1072" i="14"/>
  <c r="L682" i="14"/>
  <c r="K448" i="14"/>
  <c r="J427" i="14"/>
  <c r="L427" i="14" s="1"/>
  <c r="K351" i="14"/>
  <c r="K879" i="14"/>
  <c r="K1083" i="14"/>
  <c r="J1004" i="14"/>
  <c r="L883" i="14"/>
  <c r="K479" i="14"/>
  <c r="K33" i="14"/>
  <c r="K1062" i="14"/>
  <c r="L1116" i="14"/>
  <c r="J911" i="14"/>
  <c r="L911" i="14" s="1"/>
  <c r="K562" i="14"/>
  <c r="L35" i="14"/>
  <c r="L831" i="14"/>
  <c r="K814" i="14"/>
  <c r="L1100" i="14"/>
  <c r="K339" i="14"/>
  <c r="L508" i="14"/>
  <c r="L894" i="14"/>
  <c r="K519" i="14"/>
  <c r="K1202" i="14"/>
  <c r="L640" i="14"/>
  <c r="L490" i="14"/>
  <c r="K1201" i="14"/>
  <c r="K1088" i="14"/>
  <c r="K945" i="14"/>
  <c r="K1176" i="14"/>
  <c r="L1130" i="14"/>
  <c r="K537" i="14"/>
  <c r="K572" i="14"/>
  <c r="L813" i="14"/>
  <c r="L806" i="14"/>
  <c r="K634" i="14"/>
  <c r="K493" i="14"/>
  <c r="L348" i="14"/>
  <c r="L878" i="14"/>
  <c r="K592" i="14"/>
  <c r="L830" i="14"/>
  <c r="K887" i="14"/>
  <c r="L684" i="14"/>
  <c r="K510" i="14"/>
  <c r="L745" i="14"/>
  <c r="L750" i="14"/>
  <c r="L1042" i="14"/>
  <c r="K767" i="14"/>
  <c r="L1138" i="14"/>
  <c r="K463" i="14"/>
  <c r="L851" i="14"/>
  <c r="K450" i="14"/>
  <c r="L947" i="14"/>
  <c r="K530" i="14"/>
  <c r="L26" i="14"/>
  <c r="L698" i="14"/>
  <c r="K535" i="14"/>
  <c r="K730" i="14"/>
  <c r="L749" i="14"/>
  <c r="L328" i="14"/>
  <c r="L1057" i="14"/>
  <c r="L451" i="14"/>
  <c r="L1082" i="14"/>
  <c r="K573" i="14"/>
  <c r="K827" i="14"/>
  <c r="K464" i="14"/>
  <c r="K1183" i="14"/>
  <c r="L630" i="14"/>
  <c r="L1092" i="14"/>
  <c r="L701" i="14"/>
  <c r="L1068" i="14"/>
  <c r="K847" i="14"/>
  <c r="K823" i="14"/>
  <c r="L1067" i="14"/>
  <c r="L462" i="14"/>
  <c r="K346" i="14"/>
  <c r="K726" i="14"/>
  <c r="L1043" i="14"/>
  <c r="L795" i="14"/>
  <c r="K1011" i="14"/>
  <c r="L818" i="14"/>
  <c r="L856" i="14"/>
  <c r="L716" i="14"/>
  <c r="L808" i="14"/>
  <c r="K1052" i="14"/>
  <c r="L699" i="14"/>
  <c r="K1099" i="14"/>
  <c r="L796" i="14"/>
  <c r="L345" i="14"/>
  <c r="K1107" i="14"/>
  <c r="K646" i="14"/>
  <c r="K1114" i="14"/>
  <c r="L594" i="14"/>
  <c r="L1046" i="14"/>
  <c r="L821" i="14"/>
  <c r="L898" i="14"/>
  <c r="K36" i="14"/>
  <c r="K46" i="14"/>
  <c r="L1184" i="14"/>
  <c r="K1133" i="14"/>
  <c r="L589" i="14"/>
  <c r="L644" i="14"/>
  <c r="K748" i="14"/>
  <c r="L1180" i="14"/>
  <c r="K895" i="14"/>
  <c r="K968" i="14"/>
  <c r="K525" i="14"/>
  <c r="K1197" i="14"/>
  <c r="K1188" i="14"/>
  <c r="K526" i="14"/>
  <c r="L951" i="14"/>
  <c r="K1074" i="14"/>
  <c r="K1190" i="14"/>
  <c r="K334" i="14"/>
  <c r="K534" i="14"/>
  <c r="K1084" i="14"/>
  <c r="L1061" i="14"/>
  <c r="L1129" i="14"/>
  <c r="K1106" i="14"/>
  <c r="K511" i="14"/>
  <c r="K772" i="14"/>
  <c r="K803" i="14"/>
  <c r="K561" i="14"/>
  <c r="L797" i="14"/>
  <c r="L337" i="14"/>
  <c r="L852" i="14"/>
  <c r="L40" i="14"/>
  <c r="K28" i="14"/>
  <c r="K715" i="14"/>
  <c r="L635" i="14"/>
  <c r="K1094" i="14"/>
  <c r="K459" i="14"/>
  <c r="K775" i="14"/>
  <c r="K629" i="14"/>
  <c r="K971" i="14"/>
  <c r="K1016" i="14"/>
  <c r="L1103" i="14"/>
  <c r="K1182" i="14"/>
  <c r="K820" i="14"/>
  <c r="K39" i="14"/>
  <c r="K1091" i="14"/>
  <c r="K848" i="14"/>
  <c r="K649" i="14"/>
  <c r="K590" i="14"/>
  <c r="K576" i="14"/>
  <c r="L637" i="14"/>
  <c r="K593" i="14"/>
  <c r="K798" i="14"/>
  <c r="K1045" i="14"/>
  <c r="K460" i="14"/>
  <c r="K1075" i="14"/>
  <c r="K1097" i="14"/>
  <c r="L768" i="14"/>
  <c r="K966" i="14"/>
  <c r="J990" i="14"/>
  <c r="L990" i="14" s="1"/>
  <c r="L702" i="14"/>
  <c r="L901" i="14"/>
  <c r="K901" i="14"/>
  <c r="L512" i="14"/>
  <c r="K1071" i="14"/>
  <c r="K340" i="14"/>
  <c r="K773" i="14"/>
  <c r="K888" i="14"/>
  <c r="L1013" i="14"/>
  <c r="L1132" i="14"/>
  <c r="K764" i="14"/>
  <c r="L764" i="14"/>
  <c r="L352" i="14"/>
  <c r="K352" i="14"/>
  <c r="L1113" i="14"/>
  <c r="K34" i="14"/>
  <c r="L877" i="14"/>
  <c r="L778" i="14"/>
  <c r="K1051" i="14"/>
  <c r="K1148" i="14"/>
  <c r="K1065" i="14"/>
  <c r="L1065" i="14"/>
  <c r="K719" i="14"/>
  <c r="L719" i="14"/>
  <c r="L1177" i="14"/>
  <c r="K1177" i="14"/>
  <c r="K1187" i="14"/>
  <c r="K1085" i="14"/>
  <c r="L1085" i="14"/>
  <c r="L886" i="14"/>
  <c r="K886" i="14"/>
  <c r="K662" i="14"/>
  <c r="L662" i="14"/>
  <c r="L1141" i="14"/>
  <c r="K638" i="14"/>
  <c r="L538" i="14"/>
  <c r="K538" i="14"/>
  <c r="J996" i="14"/>
  <c r="L970" i="14"/>
  <c r="K626" i="14"/>
  <c r="K428" i="14"/>
  <c r="K521" i="14"/>
  <c r="K1196" i="14"/>
  <c r="K828" i="14"/>
  <c r="L661" i="14"/>
  <c r="K661" i="14"/>
  <c r="L792" i="14"/>
  <c r="K1105" i="14"/>
  <c r="L1105" i="14"/>
  <c r="K565" i="14"/>
  <c r="L565" i="14"/>
  <c r="L664" i="14"/>
  <c r="K664" i="14"/>
  <c r="L1111" i="14"/>
  <c r="K1111" i="14"/>
  <c r="K517" i="14"/>
  <c r="K667" i="14"/>
  <c r="L927" i="14"/>
  <c r="K1096" i="14"/>
  <c r="L1096" i="14"/>
  <c r="L665" i="14"/>
  <c r="K665" i="14"/>
  <c r="K1064" i="14"/>
  <c r="L721" i="14"/>
  <c r="K1039" i="14"/>
  <c r="L478" i="14"/>
  <c r="K478" i="14"/>
  <c r="L516" i="14"/>
  <c r="K516" i="14"/>
  <c r="L805" i="14"/>
  <c r="K805" i="14"/>
  <c r="L529" i="14"/>
  <c r="K529" i="14"/>
  <c r="K858" i="14"/>
  <c r="L858" i="14"/>
  <c r="L952" i="14"/>
  <c r="K952" i="14"/>
  <c r="L1154" i="14"/>
  <c r="K1154" i="14"/>
  <c r="L1077" i="14"/>
  <c r="K1077" i="14"/>
  <c r="L569" i="14"/>
  <c r="K569" i="14"/>
  <c r="L760" i="14"/>
  <c r="K760" i="14"/>
  <c r="L850" i="14"/>
  <c r="K850" i="14"/>
  <c r="L1040" i="14"/>
  <c r="K1040" i="14"/>
  <c r="L793" i="14"/>
  <c r="K793" i="14"/>
  <c r="L824" i="14"/>
  <c r="K824" i="14"/>
  <c r="L769" i="14"/>
  <c r="K769" i="14"/>
  <c r="L570" i="14"/>
  <c r="K570" i="14"/>
  <c r="L1004" i="14" l="1"/>
  <c r="K1004" i="14"/>
  <c r="L921" i="14"/>
  <c r="K921" i="14"/>
  <c r="K365" i="14"/>
  <c r="K367" i="14" s="1"/>
  <c r="K996" i="14"/>
  <c r="L996" i="14"/>
  <c r="I15" i="12" l="1"/>
  <c r="I9" i="12" l="1"/>
  <c r="I10" i="12"/>
  <c r="I12" i="12"/>
  <c r="I13" i="12"/>
  <c r="I14" i="12"/>
  <c r="I8" i="12"/>
  <c r="I7" i="12"/>
  <c r="I11" i="12" l="1"/>
  <c r="I6" i="12" l="1"/>
  <c r="I17" i="12" l="1"/>
  <c r="I18" i="12" s="1"/>
  <c r="I19" i="12" s="1"/>
  <c r="K390" i="14"/>
  <c r="K402" i="14" l="1"/>
  <c r="K403" i="14"/>
  <c r="K433" i="14"/>
  <c r="K414" i="14" s="1"/>
  <c r="K425" i="14"/>
  <c r="K420" i="14"/>
  <c r="K404" i="14"/>
</calcChain>
</file>

<file path=xl/sharedStrings.xml><?xml version="1.0" encoding="utf-8"?>
<sst xmlns="http://schemas.openxmlformats.org/spreadsheetml/2006/main" count="9961" uniqueCount="1315">
  <si>
    <t>N°</t>
  </si>
  <si>
    <t>N°_n</t>
  </si>
  <si>
    <t>Désignation des travaux</t>
  </si>
  <si>
    <t>Unité</t>
  </si>
  <si>
    <t>Quantité</t>
  </si>
  <si>
    <t>Prix unitaire</t>
  </si>
  <si>
    <t>Prix total</t>
  </si>
  <si>
    <t>Colonne1</t>
  </si>
  <si>
    <t>Colonne2</t>
  </si>
  <si>
    <t>PU en Euros</t>
  </si>
  <si>
    <t>Prix total en Euros</t>
  </si>
  <si>
    <t>P Total en Euros</t>
  </si>
  <si>
    <t>Lycée</t>
  </si>
  <si>
    <t>(-)</t>
  </si>
  <si>
    <t xml:space="preserve">PIÈCES DE RACCORDS </t>
  </si>
  <si>
    <t>RUKURAMIGABO</t>
  </si>
  <si>
    <t>PIÈCES DE RACCORDS POUR LES TUYAUX ET ROBINETTERIE</t>
  </si>
  <si>
    <t>St. Fm. KANYINYA</t>
  </si>
  <si>
    <t xml:space="preserve">Raccordement à la Basse Tension </t>
  </si>
  <si>
    <t>Collier de prise en charge</t>
  </si>
  <si>
    <t>BUGABIRA</t>
  </si>
  <si>
    <t>1.7</t>
  </si>
  <si>
    <t xml:space="preserve">Contruction caniveau </t>
  </si>
  <si>
    <t>KIGOZI</t>
  </si>
  <si>
    <t>2.1.</t>
  </si>
  <si>
    <t>Tuyaux en acier galvanisé</t>
  </si>
  <si>
    <t>TOIT.04</t>
  </si>
  <si>
    <t xml:space="preserve">Couverture </t>
  </si>
  <si>
    <t xml:space="preserve"> </t>
  </si>
  <si>
    <t>TERRASSEMENT ET POSE</t>
  </si>
  <si>
    <t>KIRUNDO</t>
  </si>
  <si>
    <t>BET.</t>
  </si>
  <si>
    <t>BETONS</t>
  </si>
  <si>
    <t>BET.2.</t>
  </si>
  <si>
    <t>BET.ARM</t>
  </si>
  <si>
    <t>BETON ARME.</t>
  </si>
  <si>
    <t>BET.2.1</t>
  </si>
  <si>
    <t>BET.ARM.1</t>
  </si>
  <si>
    <t>Béton armé  de semelles</t>
  </si>
  <si>
    <r>
      <t>m</t>
    </r>
    <r>
      <rPr>
        <vertAlign val="superscript"/>
        <sz val="11"/>
        <color indexed="8"/>
        <rFont val="Tahoma"/>
        <family val="2"/>
      </rPr>
      <t>3</t>
    </r>
  </si>
  <si>
    <t>BET.2.2</t>
  </si>
  <si>
    <t>BET.ARM.2</t>
  </si>
  <si>
    <t>Béton armé pour Fût de colonnes de fondation</t>
  </si>
  <si>
    <t>BET.2.3</t>
  </si>
  <si>
    <t>BET.ARM.3</t>
  </si>
  <si>
    <t xml:space="preserve">Béton armé de chainage bas ou longrine basse 20x20cm </t>
  </si>
  <si>
    <t>BET.2.4</t>
  </si>
  <si>
    <t>BET.ARM.4</t>
  </si>
  <si>
    <t xml:space="preserve">Béton armé pour colonne en élévation </t>
  </si>
  <si>
    <t>BET.2.5</t>
  </si>
  <si>
    <t>BET.ARM.5</t>
  </si>
  <si>
    <t xml:space="preserve">Béton armé de chainages hauts 20x20cm </t>
  </si>
  <si>
    <t>BET.01</t>
  </si>
  <si>
    <t>BET.NA</t>
  </si>
  <si>
    <t>BETON NON ARME</t>
  </si>
  <si>
    <t>BET.01.1</t>
  </si>
  <si>
    <t>BET.NA.1</t>
  </si>
  <si>
    <t>Béton de propreté</t>
  </si>
  <si>
    <t>BET.01.2</t>
  </si>
  <si>
    <t>BET.NA.2</t>
  </si>
  <si>
    <t>Béton cyclopéen</t>
  </si>
  <si>
    <t>BET.01.3</t>
  </si>
  <si>
    <t>BET.NA.3</t>
  </si>
  <si>
    <t>Béton de forme sur hérisson à l'intérieur du batiment et passage couvert</t>
  </si>
  <si>
    <t>BET.01.4</t>
  </si>
  <si>
    <t>BET.NA.4</t>
  </si>
  <si>
    <t>Béton pour appui de fenêtre / seuil des fenêtres</t>
  </si>
  <si>
    <t>ml</t>
  </si>
  <si>
    <t>BET.01.5</t>
  </si>
  <si>
    <t>BET.NA.5</t>
  </si>
  <si>
    <t>Béton de forme sur les trottoirs et caniveaux</t>
  </si>
  <si>
    <t>CON.</t>
  </si>
  <si>
    <t>CONSTRUCTION  DES OUVRAGES DE GENIE CIVIL.</t>
  </si>
  <si>
    <t>3 00</t>
  </si>
  <si>
    <t>CON.EAU.</t>
  </si>
  <si>
    <t>CONSTRUCTION DES POINTS D'EAU</t>
  </si>
  <si>
    <t>CON.EAU.1</t>
  </si>
  <si>
    <t>Borne Fontaine simple</t>
  </si>
  <si>
    <t xml:space="preserve">Pce </t>
  </si>
  <si>
    <t>3 01</t>
  </si>
  <si>
    <t xml:space="preserve">Construction de borne fontaine simple y compris la construction d'une chambre de vannes 0,50 x0,50 m </t>
  </si>
  <si>
    <t>3 151</t>
  </si>
  <si>
    <t>3 152</t>
  </si>
  <si>
    <t>Rampe à 6 robinets</t>
  </si>
  <si>
    <t>3 2,1</t>
  </si>
  <si>
    <t>piece</t>
  </si>
  <si>
    <t xml:space="preserve">Construction de la rampe 6 robinets y compris la construction d'une chambre de vannes 0,80 x0,80 m </t>
  </si>
  <si>
    <t>NTEGA</t>
  </si>
  <si>
    <t xml:space="preserve">Construction de Rampe  a 6 robinets  y compris la construction d'une chambre de vannes 0,80 x0,80 m </t>
  </si>
  <si>
    <t>Comm. VUMBI</t>
  </si>
  <si>
    <t>3 2.1</t>
  </si>
  <si>
    <t>3,2,1</t>
  </si>
  <si>
    <t xml:space="preserve">Construction de borne fontaine à 6 robinets simple y compris la construction d'une chambre de vannes 0,50 x0,50 m </t>
  </si>
  <si>
    <t>MWENYA</t>
  </si>
  <si>
    <t>CON.EAU.2</t>
  </si>
  <si>
    <t xml:space="preserve">Construction de rampe a 4 robinets  y compris la construction d'une chambre de vannes 0,80 x0,80 m </t>
  </si>
  <si>
    <t>CON.EAU.3</t>
  </si>
  <si>
    <t>Réhabilitation borne fontaine</t>
  </si>
  <si>
    <t>Réhabilitation de la Rampe à 6 robinets</t>
  </si>
  <si>
    <t>3 000</t>
  </si>
  <si>
    <t>CON.RES.</t>
  </si>
  <si>
    <t>CONSTRUCTION DES RESERVOIRS</t>
  </si>
  <si>
    <t>CON.RES.1</t>
  </si>
  <si>
    <t>Construction d'un réservoir en moellon de 10 m³</t>
  </si>
  <si>
    <t>CON.RES.2</t>
  </si>
  <si>
    <t>Construction d'un réservoir en moellon de 2 m³</t>
  </si>
  <si>
    <t>CON.RES.3</t>
  </si>
  <si>
    <t>Construction d'un réservoir en moellon de 2,5 m³</t>
  </si>
  <si>
    <t>CON.RES.4</t>
  </si>
  <si>
    <t>Construction d'un réservoir en moellon de 5 m³</t>
  </si>
  <si>
    <t>COUV.</t>
  </si>
  <si>
    <t>COUVERTURE ET ETANCHEITE DES TOITURES</t>
  </si>
  <si>
    <t>COUV.1</t>
  </si>
  <si>
    <t>Remplacement des tôles en amiante ciment par des tôles ALUZINC ép : 5mm y compris toutes sujétions</t>
  </si>
  <si>
    <r>
      <t>m</t>
    </r>
    <r>
      <rPr>
        <vertAlign val="superscript"/>
        <sz val="11"/>
        <color theme="1"/>
        <rFont val="Tahoma"/>
        <family val="2"/>
      </rPr>
      <t>2</t>
    </r>
  </si>
  <si>
    <t>ELEC.CHE</t>
  </si>
  <si>
    <t>Chemins de câbles, Goulottes, Gaines flexibles</t>
  </si>
  <si>
    <t>CUMVA</t>
  </si>
  <si>
    <t>Int. VUMBI</t>
  </si>
  <si>
    <t>2.2.2</t>
  </si>
  <si>
    <t>1.3.3</t>
  </si>
  <si>
    <t>ELEC.CHE.1</t>
  </si>
  <si>
    <t xml:space="preserve">Accessoires tubages gaines, fixation </t>
  </si>
  <si>
    <t>ff</t>
  </si>
  <si>
    <t>1.3.2</t>
  </si>
  <si>
    <t>ELEC.CHE.2</t>
  </si>
  <si>
    <t>Gaines rigides (PVC) Ø20mm</t>
  </si>
  <si>
    <t>2.2.3</t>
  </si>
  <si>
    <t>ELE.</t>
  </si>
  <si>
    <t>ELEC.GEN.</t>
  </si>
  <si>
    <t>ELECTRICITE</t>
  </si>
  <si>
    <t>ELECT</t>
  </si>
  <si>
    <t>ELECT.</t>
  </si>
  <si>
    <t>ELE.1</t>
  </si>
  <si>
    <t>ELEC.GEN.1</t>
  </si>
  <si>
    <t xml:space="preserve">Remplacement des Tubes dans toute la salle </t>
  </si>
  <si>
    <t xml:space="preserve">Y compris dans le poste "mise a niveau des Installations électriques" </t>
  </si>
  <si>
    <t>ELECT.1</t>
  </si>
  <si>
    <t>ELEC.GEN.2</t>
  </si>
  <si>
    <t>Contrôle du système d'éclairage y compris remplacement des luminaires et interrupteurs</t>
  </si>
  <si>
    <t>FF</t>
  </si>
  <si>
    <t>ELEC.GEN.3</t>
  </si>
  <si>
    <t>y compris dans les postes de la Mise à niveau des Installations Electriques</t>
  </si>
  <si>
    <t>ELEC.LUM</t>
  </si>
  <si>
    <t>Luminaires</t>
  </si>
  <si>
    <t>ELEC.LUM.1</t>
  </si>
  <si>
    <t xml:space="preserve">interrupteur SA 230v, 10A </t>
  </si>
  <si>
    <t>pc</t>
  </si>
  <si>
    <t xml:space="preserve">Interrupteur SA 230v, 10A </t>
  </si>
  <si>
    <t>ELEC.LUM.2</t>
  </si>
  <si>
    <t xml:space="preserve">Luminaires type LED 15 w + socket et accessoires </t>
  </si>
  <si>
    <t>ELEC.MIS</t>
  </si>
  <si>
    <t>Mise à la terre</t>
  </si>
  <si>
    <t>ELEC.MIS.1</t>
  </si>
  <si>
    <t xml:space="preserve">Mise a la terre (câble ø 25mm2) </t>
  </si>
  <si>
    <t>fft</t>
  </si>
  <si>
    <t>ELEC.PAR.</t>
  </si>
  <si>
    <t>Parafoudre</t>
  </si>
  <si>
    <t>ELEC.PAR.1</t>
  </si>
  <si>
    <t xml:space="preserve">Parafoudre AC niveau 2 20kA/230V AC </t>
  </si>
  <si>
    <t xml:space="preserve">Parafoudre AC niveau 2 20kA/380V AC </t>
  </si>
  <si>
    <t>ELEC.PRIS.</t>
  </si>
  <si>
    <t xml:space="preserve">Prises de courant </t>
  </si>
  <si>
    <t>ELEC.PRIS.1</t>
  </si>
  <si>
    <t>prise normale apparente  avec terre (230V, 16A 2P) dans les bureaux admnistratif, salle informatique, prefectures, biblio</t>
  </si>
  <si>
    <t xml:space="preserve">prise normale apparente  avec terre (230V, 16A, 2P) </t>
  </si>
  <si>
    <t>Prise normale apparente  avec terre (230V, 16A, 2P) dans les bureaux administratif, salle TIC</t>
  </si>
  <si>
    <t>prise normale apparente  avec terre (230V, 16A, 2P) dans les bureaux admnistratif, salle informatique, prefectures, biblio</t>
  </si>
  <si>
    <t>prise normale apparente  avec terre (230V, 16A, 2P) dans les bureaux admnistratif, salle informatique+labo</t>
  </si>
  <si>
    <t>Prise normale apparente avec terre (230V, 16A 2P)</t>
  </si>
  <si>
    <t>ELEC.PROT.</t>
  </si>
  <si>
    <t>Elements de protection</t>
  </si>
  <si>
    <t>5.1.4</t>
  </si>
  <si>
    <t>ELEC.PROT.1</t>
  </si>
  <si>
    <t>Disjoncteur bipolaire 10A</t>
  </si>
  <si>
    <t>pce</t>
  </si>
  <si>
    <t>5.1.6</t>
  </si>
  <si>
    <t>5.1.5</t>
  </si>
  <si>
    <t>ELEC.PROT.10</t>
  </si>
  <si>
    <t xml:space="preserve">tige en cuivre + accessoires de fixation et cablage de liaison </t>
  </si>
  <si>
    <t xml:space="preserve">Tige en cuivre + accessoires de fixation et cablage de liaison </t>
  </si>
  <si>
    <t>Fft</t>
  </si>
  <si>
    <t>5.1.7</t>
  </si>
  <si>
    <t>2.2.4</t>
  </si>
  <si>
    <t>ELEC.PROT.11</t>
  </si>
  <si>
    <t>Protections AC et accessoires de fixations</t>
  </si>
  <si>
    <t>5.1.3</t>
  </si>
  <si>
    <t>ELEC.PROT.2</t>
  </si>
  <si>
    <t>Disjoncteur bipolaire 16A</t>
  </si>
  <si>
    <t>ELEC.PROT.3</t>
  </si>
  <si>
    <t>Disjoncteur bipolaire 32A</t>
  </si>
  <si>
    <t>5.1.1</t>
  </si>
  <si>
    <t>ELEC.PROT.4</t>
  </si>
  <si>
    <t>Disjoncteur bipolaire 32A- 30mA</t>
  </si>
  <si>
    <t>5.1.2</t>
  </si>
  <si>
    <t>ELEC.PROT.5</t>
  </si>
  <si>
    <t>Disjoncteur bipolaire 40A</t>
  </si>
  <si>
    <t>ELEC.PROT.6</t>
  </si>
  <si>
    <t>Disjoncteur tetrapolaire 40A</t>
  </si>
  <si>
    <t>ELEC.PROT.7</t>
  </si>
  <si>
    <t>Disjoncteur tetrapolaire 63A- 30mA</t>
  </si>
  <si>
    <t>ELEC.PROT.8</t>
  </si>
  <si>
    <t>Disjoncteur tretrapolaire 32A</t>
  </si>
  <si>
    <t>ELEC.PROT.9</t>
  </si>
  <si>
    <t>Elément de protection (Disjoncteur) en AC</t>
  </si>
  <si>
    <t>ELEC.TAB</t>
  </si>
  <si>
    <t>Tableau divisionnaire,câblage et filerie</t>
  </si>
  <si>
    <t>ELEC.TAB.1</t>
  </si>
  <si>
    <t>Tableau divisionnaire</t>
  </si>
  <si>
    <t>1.1.2</t>
  </si>
  <si>
    <t>ELEC.TAB.2</t>
  </si>
  <si>
    <t xml:space="preserve">TD 12 modules apparents </t>
  </si>
  <si>
    <t>2.1.1</t>
  </si>
  <si>
    <t>TD 12 modules apparent IP 55</t>
  </si>
  <si>
    <t>1.1.1</t>
  </si>
  <si>
    <t>ELEC.TAB.3</t>
  </si>
  <si>
    <t>TD 12 modules IP 55</t>
  </si>
  <si>
    <t>TD 24 modules IP 55</t>
  </si>
  <si>
    <t>ELEC.TAB.4</t>
  </si>
  <si>
    <t>Câblage et filerie  AC</t>
  </si>
  <si>
    <t>Câblage et filerie du cte AC</t>
  </si>
  <si>
    <t>ELEC.TAB.5</t>
  </si>
  <si>
    <t>1.2.1</t>
  </si>
  <si>
    <t>VVB 3x2,5mm²(100m)</t>
  </si>
  <si>
    <t>RX</t>
  </si>
  <si>
    <t>VVB 3x2,5mm²(m)</t>
  </si>
  <si>
    <t>2.2.1</t>
  </si>
  <si>
    <t>1.2.2</t>
  </si>
  <si>
    <t>ELEC.TAB.6</t>
  </si>
  <si>
    <t>VVB 3x6mm²(100m)</t>
  </si>
  <si>
    <t>ELEC.TAB.7</t>
  </si>
  <si>
    <t>VVB 3x6mm²(50m)</t>
  </si>
  <si>
    <t xml:space="preserve">ml </t>
  </si>
  <si>
    <t>2.2.5</t>
  </si>
  <si>
    <t xml:space="preserve">Pose et installation des luminaires </t>
  </si>
  <si>
    <t>ELEC.TAB.8</t>
  </si>
  <si>
    <t>VVB 5x6mm²(100m)</t>
  </si>
  <si>
    <t>2.2.6</t>
  </si>
  <si>
    <t xml:space="preserve">Pose et installation des prises </t>
  </si>
  <si>
    <t>2.2.7</t>
  </si>
  <si>
    <t>ELEC.TAB.9</t>
  </si>
  <si>
    <t xml:space="preserve">Pose et installation des interrupteurs </t>
  </si>
  <si>
    <t>ELEV.</t>
  </si>
  <si>
    <t xml:space="preserve">ELEVATIONS </t>
  </si>
  <si>
    <t>ELEV.1</t>
  </si>
  <si>
    <t>Colonnes en B.A, Armantures 4 Φ 10, cadres en Φ6 tous les 15cm</t>
  </si>
  <si>
    <r>
      <t>m</t>
    </r>
    <r>
      <rPr>
        <vertAlign val="superscript"/>
        <sz val="11"/>
        <color theme="1"/>
        <rFont val="Tahoma"/>
        <family val="2"/>
      </rPr>
      <t>3</t>
    </r>
  </si>
  <si>
    <t>ELEV.2</t>
  </si>
  <si>
    <t>Chainages supérieurs en B.A, Armantures 4 Φ 10, cadres en Φ6 tous les 15cm</t>
  </si>
  <si>
    <t>ELEV.3</t>
  </si>
  <si>
    <t>Elevation des nouveaux murs en briques cuites, ép : 20cm</t>
  </si>
  <si>
    <t>ELEV.4</t>
  </si>
  <si>
    <t>Elevation des piedroits pour supports des paillasses dans le Laboratoire, ép : 10cm</t>
  </si>
  <si>
    <t>FAU PL.</t>
  </si>
  <si>
    <t>FAUPL.</t>
  </si>
  <si>
    <t>FAUX PLAFOND</t>
  </si>
  <si>
    <t>FAU.PL.</t>
  </si>
  <si>
    <t>FAU PL.1</t>
  </si>
  <si>
    <t>FAUPL.1</t>
  </si>
  <si>
    <t>Faux plafond en multiplex 8mm sur gitage en bois y compris le vernis en deux couches</t>
  </si>
  <si>
    <t>FAU.PL.01</t>
  </si>
  <si>
    <t>m²</t>
  </si>
  <si>
    <t>FOND.</t>
  </si>
  <si>
    <t>FONDATIONS</t>
  </si>
  <si>
    <t>FOND.1</t>
  </si>
  <si>
    <t xml:space="preserve">Longrine en béton armé, Armantures 4 Φ 10, cadres en Φ6 tous les 15cm </t>
  </si>
  <si>
    <t>I. 1</t>
  </si>
  <si>
    <t>FOR.1</t>
  </si>
  <si>
    <t xml:space="preserve">ETUDES </t>
  </si>
  <si>
    <t>FOR.10</t>
  </si>
  <si>
    <t>Socle</t>
  </si>
  <si>
    <t>FOR.11</t>
  </si>
  <si>
    <t>Boîtier pour tableau de commande et câbles</t>
  </si>
  <si>
    <t>FOR.12</t>
  </si>
  <si>
    <t>Câbles</t>
  </si>
  <si>
    <t>FOR.13</t>
  </si>
  <si>
    <t>Panneaux solaires 200 W</t>
  </si>
  <si>
    <t>FOR.14</t>
  </si>
  <si>
    <t>Cadre solaire</t>
  </si>
  <si>
    <t>FOR.15</t>
  </si>
  <si>
    <t>Tuyau montant en PEHD 50 mm</t>
  </si>
  <si>
    <t>roll</t>
  </si>
  <si>
    <t>FOR.16</t>
  </si>
  <si>
    <t>Robinet en Nilon pour pompe 8" et accessoires</t>
  </si>
  <si>
    <t>FOR.17</t>
  </si>
  <si>
    <t>Accessoires d'installation de pompe</t>
  </si>
  <si>
    <t>FOR.18</t>
  </si>
  <si>
    <t>Transport de matériaux</t>
  </si>
  <si>
    <t>FOR.19</t>
  </si>
  <si>
    <t>Installation de pompe</t>
  </si>
  <si>
    <t>FOR.2</t>
  </si>
  <si>
    <t>Forage rotatif à la boue et forage pneumatique jusqu'à 80 m</t>
  </si>
  <si>
    <t>FOR.20</t>
  </si>
  <si>
    <t>FOR.21</t>
  </si>
  <si>
    <t>Tuyau galvanisé 50 mm</t>
  </si>
  <si>
    <t>FOR.22</t>
  </si>
  <si>
    <t>Support métallique pour réservoir 2000 L</t>
  </si>
  <si>
    <t>FOR.23</t>
  </si>
  <si>
    <t>Support de robinet</t>
  </si>
  <si>
    <t>FOR.24</t>
  </si>
  <si>
    <t>Tranchements</t>
  </si>
  <si>
    <t>m</t>
  </si>
  <si>
    <t>FOR.25</t>
  </si>
  <si>
    <t>Autres accessoires</t>
  </si>
  <si>
    <t>FOR.26</t>
  </si>
  <si>
    <t>Réservoir et tuyauterie</t>
  </si>
  <si>
    <t>FOR.27</t>
  </si>
  <si>
    <t>transport de matériaux</t>
  </si>
  <si>
    <t>FOR.3</t>
  </si>
  <si>
    <t>Équipement de forage PVC 5" (crépine et lisse)</t>
  </si>
  <si>
    <t>FOR.4</t>
  </si>
  <si>
    <t>Gravier</t>
  </si>
  <si>
    <t>FOR.5</t>
  </si>
  <si>
    <t>Rinçage et nettoyage du trou</t>
  </si>
  <si>
    <t>FOR.6</t>
  </si>
  <si>
    <t>Pompage d'essais</t>
  </si>
  <si>
    <t>FOR.7</t>
  </si>
  <si>
    <t>Analyse de la qualité de l'eau</t>
  </si>
  <si>
    <t>FOR.8</t>
  </si>
  <si>
    <t>Pompe et moteur</t>
  </si>
  <si>
    <t>FOR.9</t>
  </si>
  <si>
    <t>Tableau de commande</t>
  </si>
  <si>
    <t>GOUT.AG.</t>
  </si>
  <si>
    <t xml:space="preserve">GOUTIERES EN ACIER </t>
  </si>
  <si>
    <t>GOUT.AG.1</t>
  </si>
  <si>
    <t>Goutieres en Toles planes avec Naissance de 110</t>
  </si>
  <si>
    <t>Pièce</t>
  </si>
  <si>
    <t>GOUT.AG.2</t>
  </si>
  <si>
    <t>Support métalliques</t>
  </si>
  <si>
    <t>HUI.</t>
  </si>
  <si>
    <t>HUISSERIES</t>
  </si>
  <si>
    <t xml:space="preserve">HUISSERIES </t>
  </si>
  <si>
    <t>HUI.01</t>
  </si>
  <si>
    <t>HUI.FEN.</t>
  </si>
  <si>
    <t xml:space="preserve">Fenêtres </t>
  </si>
  <si>
    <t>HUI.2</t>
  </si>
  <si>
    <t>FENETRES</t>
  </si>
  <si>
    <t>HUI.01.1</t>
  </si>
  <si>
    <t>HUI.FEN.1</t>
  </si>
  <si>
    <t xml:space="preserve">Fenêtres métalliques vitrées y compris les barres antivols FMV-01 : 150X170 selon modèle existant </t>
  </si>
  <si>
    <t>HUI.01.2</t>
  </si>
  <si>
    <t>HUI.FEN.2</t>
  </si>
  <si>
    <t xml:space="preserve">Fenêtres métalliques vitrées y compris les barres antivols FMV-02 : 145X70 selon modèle existant </t>
  </si>
  <si>
    <t>HUI.2.1</t>
  </si>
  <si>
    <t>HUI.FEN.3</t>
  </si>
  <si>
    <t xml:space="preserve">Fenetres métalliques selon le plan des fenetres existants 200x180 y compris les moustiquaires </t>
  </si>
  <si>
    <t>Pce</t>
  </si>
  <si>
    <t>HUI.2.2</t>
  </si>
  <si>
    <t>HUI.FEN.4</t>
  </si>
  <si>
    <t>Fenetres métalliques selon le plan des fenetres existants 140x180 y compris les moustiquaires</t>
  </si>
  <si>
    <t>HUI.2.3</t>
  </si>
  <si>
    <t>HUI.FEN.5</t>
  </si>
  <si>
    <t xml:space="preserve">Remplacement des vitres cassées </t>
  </si>
  <si>
    <t>HUI.FEN.6</t>
  </si>
  <si>
    <t>Remplacement des vitres cassées et NACO y compris le remplacement des moustiquaires et contrôle du système de manutention</t>
  </si>
  <si>
    <t>HUI.02</t>
  </si>
  <si>
    <t>HUI.PRT.</t>
  </si>
  <si>
    <t xml:space="preserve">Portes </t>
  </si>
  <si>
    <t>HUI.1</t>
  </si>
  <si>
    <t>PORTES</t>
  </si>
  <si>
    <t>HUI.1.1</t>
  </si>
  <si>
    <t>HUI.PRT.1</t>
  </si>
  <si>
    <t>Portes métalliques simples 90x210 y compris serrurerie et toutes sujétions</t>
  </si>
  <si>
    <t>HUI.PRT.2</t>
  </si>
  <si>
    <t>Portes métalliques simples détalonnées 75x190 y compris  verrous de fermeture et toutes sujétions selon modèle des l'existant</t>
  </si>
  <si>
    <t>HUI.PRT.3</t>
  </si>
  <si>
    <t>Portes métalliques simples détalonnées 90x210 y compris  verrous de fermeture et toutes sujétions</t>
  </si>
  <si>
    <t>HUI.1.2</t>
  </si>
  <si>
    <t>HUI.PRT.4</t>
  </si>
  <si>
    <t>Portes en bois simples 90x210  y compris serrurerie et toutes sujétions</t>
  </si>
  <si>
    <t>HUI.PRT.FN</t>
  </si>
  <si>
    <t>Portes - Fenetres</t>
  </si>
  <si>
    <t>HUI.02.1</t>
  </si>
  <si>
    <t>HUI.PRT.FN.1</t>
  </si>
  <si>
    <t xml:space="preserve">Portes fenetres métalliques simple PMS-01 : 60X200 selon modèle existant </t>
  </si>
  <si>
    <t xml:space="preserve">Portes fenetres métalliques simple PMS-01 : 65X200 selon modèle existant </t>
  </si>
  <si>
    <t>HUI.PRT.FN.2</t>
  </si>
  <si>
    <t xml:space="preserve">Portes fenetres métalliques vitrées avec imposte  PFMV-01 : 165X255  selon modèle existant </t>
  </si>
  <si>
    <t>MAC.</t>
  </si>
  <si>
    <t>MACONNERIE</t>
  </si>
  <si>
    <t>MAC.01</t>
  </si>
  <si>
    <t>MAC.1</t>
  </si>
  <si>
    <t>Roofing  de Protection contre l'humidité ascencionnelle dans les murs</t>
  </si>
  <si>
    <t>MAC.02</t>
  </si>
  <si>
    <t>MAC.2</t>
  </si>
  <si>
    <t xml:space="preserve">Maçonnerie en briques artisanales, ép 20cm  </t>
  </si>
  <si>
    <r>
      <t>m</t>
    </r>
    <r>
      <rPr>
        <vertAlign val="superscript"/>
        <sz val="11"/>
        <color indexed="8"/>
        <rFont val="Tahoma"/>
        <family val="2"/>
      </rPr>
      <t>2</t>
    </r>
  </si>
  <si>
    <t>MAC.03</t>
  </si>
  <si>
    <t>MAC.3</t>
  </si>
  <si>
    <t xml:space="preserve">Maçonnerie en briques artisanales, ép 45cm  </t>
  </si>
  <si>
    <t>PAV.</t>
  </si>
  <si>
    <t>PAVEMENT INTERIEUR ET EXTERIEUR</t>
  </si>
  <si>
    <t>PAV.01</t>
  </si>
  <si>
    <t>PAV.1</t>
  </si>
  <si>
    <t>Lit de sable sous pavement épaisseur  5 cm</t>
  </si>
  <si>
    <t>PAV.02</t>
  </si>
  <si>
    <t>PAV.2</t>
  </si>
  <si>
    <t xml:space="preserve">Hérisson en moellons épaisseur 25 cm  </t>
  </si>
  <si>
    <t>PAV.03</t>
  </si>
  <si>
    <t>PAV.3</t>
  </si>
  <si>
    <t>Protection contre la remontée des eaux dans les dalles ( Film polyane)</t>
  </si>
  <si>
    <t>PEI.</t>
  </si>
  <si>
    <t xml:space="preserve">PEINTURES </t>
  </si>
  <si>
    <t xml:space="preserve">PEI. </t>
  </si>
  <si>
    <t>PEINTURE</t>
  </si>
  <si>
    <t>PEI.2</t>
  </si>
  <si>
    <t>PEI.??</t>
  </si>
  <si>
    <t>Peinture sur faux plafond y compris le remplacement par du nouveau faux plafond dans les zones en mauvais état</t>
  </si>
  <si>
    <t>PEI.01</t>
  </si>
  <si>
    <t>PEI.1</t>
  </si>
  <si>
    <t>Peinture vinylique sur les enduits intérieurs</t>
  </si>
  <si>
    <t>Peinture vinylique sur murs intérieurs au delà de 2,10m</t>
  </si>
  <si>
    <t xml:space="preserve">Peinture vinylique sur nouveaux murs intérieurs </t>
  </si>
  <si>
    <t>Peinture vinylique sur murs intérieurs extistants</t>
  </si>
  <si>
    <t>PEI.3</t>
  </si>
  <si>
    <t>Peinture vinylique sur mur extérieurs, colonnes et chainages</t>
  </si>
  <si>
    <t>PEI.02</t>
  </si>
  <si>
    <t>Peinture acrylique sur les enduits Extérieurs</t>
  </si>
  <si>
    <t>Peinture acrylique sur colonnes et chainages</t>
  </si>
  <si>
    <t>PEI.03</t>
  </si>
  <si>
    <r>
      <t>Peinture glyc</t>
    </r>
    <r>
      <rPr>
        <sz val="11"/>
        <color indexed="8"/>
        <rFont val="Tahoma"/>
        <family val="2"/>
      </rPr>
      <t xml:space="preserve">érophtalique sur les huisseries </t>
    </r>
  </si>
  <si>
    <t>PEI.4</t>
  </si>
  <si>
    <t xml:space="preserve">Peinture glycérophatalique sur huisseries </t>
  </si>
  <si>
    <t xml:space="preserve">Peinture glycérophatalique sur huisseries et intérieurs des nanitaires </t>
  </si>
  <si>
    <t>Peinture glycérophatalique sur huisseries existants et nouveaux</t>
  </si>
  <si>
    <t>Peinture glycérophtalique sur huisseries existants et nouveaux</t>
  </si>
  <si>
    <t>PEI.04</t>
  </si>
  <si>
    <t>Peinture sur le Tableau noir</t>
  </si>
  <si>
    <t>PEI.5</t>
  </si>
  <si>
    <t>Vernis bitumineux sur murs intérieurs des sanitaires, hauteur : 1,80m</t>
  </si>
  <si>
    <t>Vernis bitumineux sur murs intérieurs, hauteur : 2,10m</t>
  </si>
  <si>
    <t>PEI.6</t>
  </si>
  <si>
    <t>Vernis clair sur faux plafond y compris remplacement des zones abimées</t>
  </si>
  <si>
    <t>PL. SAN.</t>
  </si>
  <si>
    <t>PL.SAN.</t>
  </si>
  <si>
    <t>PLOMBERIE SANITAIRE</t>
  </si>
  <si>
    <t>PL. SAN.1</t>
  </si>
  <si>
    <t>PL.SAN.1</t>
  </si>
  <si>
    <t>Contrôle des appareils sanitaires et les installations d'adduction et d'évacuation y compris le nettoyage des appareils sanitaires et revetements</t>
  </si>
  <si>
    <t>PL.SAN.2</t>
  </si>
  <si>
    <t>Réparation des points d'eau, des rigoles pour urinoirs, des trous de défecation</t>
  </si>
  <si>
    <t>PL. SAN.2</t>
  </si>
  <si>
    <t>PL.SAN.AP.</t>
  </si>
  <si>
    <t>Appareils sanitaires</t>
  </si>
  <si>
    <t>PL.SAN.AP.1</t>
  </si>
  <si>
    <t xml:space="preserve">Préparation et Réparation des points de lavage et paillasses </t>
  </si>
  <si>
    <t>PL. SAN.2.1</t>
  </si>
  <si>
    <t>PL.SAN.AP.2</t>
  </si>
  <si>
    <t>Evier en acier inoxydable pour le laboratoire</t>
  </si>
  <si>
    <t>PL. SAN.2.2</t>
  </si>
  <si>
    <t>PL.SAN.AP.3</t>
  </si>
  <si>
    <t>W. C turc y compris les accessoires et toutes sujétions</t>
  </si>
  <si>
    <t>PL. SAN.2.3</t>
  </si>
  <si>
    <t>PL.SAN.AP.4</t>
  </si>
  <si>
    <t>Aménagement des bacs de douche y compris les siphons de sol + pomme et colonne de douche</t>
  </si>
  <si>
    <t>POS.AG.</t>
  </si>
  <si>
    <t xml:space="preserve">POSE DE TUYAUX EN ACIER GALVANISE ET PIECES DE RACCORDS </t>
  </si>
  <si>
    <t>POS.AG.1</t>
  </si>
  <si>
    <t>Tuyaux AG 1"</t>
  </si>
  <si>
    <t>POS.AG.2</t>
  </si>
  <si>
    <t>Tuyaux AG 3/4</t>
  </si>
  <si>
    <t>1 100</t>
  </si>
  <si>
    <t>POS.EQ.</t>
  </si>
  <si>
    <t>POSE DES EQUIPEMENTS</t>
  </si>
  <si>
    <t>POS.PHD.1</t>
  </si>
  <si>
    <r>
      <t xml:space="preserve">Tuyau PHD </t>
    </r>
    <r>
      <rPr>
        <sz val="11"/>
        <color indexed="8"/>
        <rFont val="Tahoma"/>
        <family val="2"/>
      </rPr>
      <t>ø 25 PN 16</t>
    </r>
  </si>
  <si>
    <t>POS.PHD.2</t>
  </si>
  <si>
    <r>
      <t xml:space="preserve">Tuyau PHD </t>
    </r>
    <r>
      <rPr>
        <sz val="11"/>
        <color indexed="8"/>
        <rFont val="Tahoma"/>
        <family val="2"/>
      </rPr>
      <t>ø 32 PN 16</t>
    </r>
  </si>
  <si>
    <t>Tuyau PHD ø 32 PN 16</t>
  </si>
  <si>
    <t>1 110</t>
  </si>
  <si>
    <t>POS.PHD.PVC</t>
  </si>
  <si>
    <t>POSE DES TUYAUX PHD ET PIECES DE RACCORD</t>
  </si>
  <si>
    <t>POSE DES TUYAUX PHD ET PVC ET PIECES DE RACCORD</t>
  </si>
  <si>
    <t>POSE DES TUYAUX PVC ET PIECES DE RACCORD</t>
  </si>
  <si>
    <t>1 112</t>
  </si>
  <si>
    <t>POS.PHD.PVC.1</t>
  </si>
  <si>
    <t>POS.PHD.PVC.2</t>
  </si>
  <si>
    <t>Tuyau PEHD ø32 PN 16</t>
  </si>
  <si>
    <t>1 111</t>
  </si>
  <si>
    <t>POS.PHD.PVC.3</t>
  </si>
  <si>
    <t>Tuyau PVC DE 40 PN 10</t>
  </si>
  <si>
    <t>1 300</t>
  </si>
  <si>
    <t>POS.ROB.</t>
  </si>
  <si>
    <t>POSE DE ROBINETTERIE DE RÉSEAU SUR LES OUVRAGES</t>
  </si>
  <si>
    <t>POS.ROB.1</t>
  </si>
  <si>
    <t>Robinet à flotteur DN &lt;50</t>
  </si>
  <si>
    <t>1 301</t>
  </si>
  <si>
    <t>POS.ROB.2</t>
  </si>
  <si>
    <t>Robinet-vanne DN&lt;50</t>
  </si>
  <si>
    <t>1 316</t>
  </si>
  <si>
    <t>POS.ROB.3</t>
  </si>
  <si>
    <t>Chambre de vannes de dimensions int 0,50 m x 0,50 m</t>
  </si>
  <si>
    <t>1 317</t>
  </si>
  <si>
    <t>POS.ROB.4</t>
  </si>
  <si>
    <t>Crépine DN &lt;50</t>
  </si>
  <si>
    <t xml:space="preserve">                B</t>
  </si>
  <si>
    <t>RAC.AG.</t>
  </si>
  <si>
    <t xml:space="preserve">PIECES POUR RACCORD DES TUYAUX EN ACIER </t>
  </si>
  <si>
    <t>B</t>
  </si>
  <si>
    <t>RAC.AG.BCH.</t>
  </si>
  <si>
    <t>Bouchon Femelle</t>
  </si>
  <si>
    <t>3.8.1</t>
  </si>
  <si>
    <t>RAC.AG.BCH.1</t>
  </si>
  <si>
    <t>Bouchon DE 1''</t>
  </si>
  <si>
    <t>3.8</t>
  </si>
  <si>
    <t>RAC.AG.BCH.2</t>
  </si>
  <si>
    <t>Bouchon femelle DE 2"1/2</t>
  </si>
  <si>
    <t>RAC.AG.CD</t>
  </si>
  <si>
    <t>Coude  AG à 90° F-F</t>
  </si>
  <si>
    <t>3.5.1</t>
  </si>
  <si>
    <t>RAC.AG.CD.1</t>
  </si>
  <si>
    <t>Coude DE 1''</t>
  </si>
  <si>
    <t>RAC.AG.CRP.</t>
  </si>
  <si>
    <t>Crépine</t>
  </si>
  <si>
    <t>3.12.1</t>
  </si>
  <si>
    <t>RAC.AG.CRP.1</t>
  </si>
  <si>
    <t>Crépine DE 1"</t>
  </si>
  <si>
    <t>3.6.1</t>
  </si>
  <si>
    <t>RAC.AG.MCH.1</t>
  </si>
  <si>
    <t>Manchon réducteur DE 1''-3/4''</t>
  </si>
  <si>
    <t>RAC.AG.NIP.</t>
  </si>
  <si>
    <t>Nipples</t>
  </si>
  <si>
    <t>RAC.AG.NIP.1</t>
  </si>
  <si>
    <t>Nipple DE 1''</t>
  </si>
  <si>
    <t>3.2</t>
  </si>
  <si>
    <t>RAC.AG.NIP.2</t>
  </si>
  <si>
    <t>Nipple tank 1/2</t>
  </si>
  <si>
    <t>3.3</t>
  </si>
  <si>
    <t>RAC.AG.NIP.3</t>
  </si>
  <si>
    <t>Nipple tank 3/4</t>
  </si>
  <si>
    <t>RAC.AG.PC.</t>
  </si>
  <si>
    <t>Passe cloison</t>
  </si>
  <si>
    <t>3.13.1</t>
  </si>
  <si>
    <t>RAC.AG.PC.1</t>
  </si>
  <si>
    <t>Type 1" longueur 70 cm</t>
  </si>
  <si>
    <t>RAC.AG.RED.</t>
  </si>
  <si>
    <t>Réduction F-F</t>
  </si>
  <si>
    <t>RAC.AG.RED.1</t>
  </si>
  <si>
    <t>Réduction DE 1''-3/4''</t>
  </si>
  <si>
    <t>3.2.1</t>
  </si>
  <si>
    <t>RAC.AG.RED.2</t>
  </si>
  <si>
    <t>Réducteur AG 2''/1/2 x 1''</t>
  </si>
  <si>
    <t>RAC.AG.RF.</t>
  </si>
  <si>
    <t>Robinet à floteur</t>
  </si>
  <si>
    <t>3.11.1</t>
  </si>
  <si>
    <t>RAC.AG.RF.1</t>
  </si>
  <si>
    <t>Robinet à floteur 1"</t>
  </si>
  <si>
    <t>3,10</t>
  </si>
  <si>
    <t>RAC.AG.ROB.</t>
  </si>
  <si>
    <t>Robinet de puisage male</t>
  </si>
  <si>
    <t>Robinet de puisage male pour rampe</t>
  </si>
  <si>
    <t>3.10</t>
  </si>
  <si>
    <t>RAC.AG.ROB.1</t>
  </si>
  <si>
    <t>Robinet de puisage 1/2</t>
  </si>
  <si>
    <t>3.10.1</t>
  </si>
  <si>
    <t>RAC.AG.ROB.2</t>
  </si>
  <si>
    <t>Robinet de puisage 3/4</t>
  </si>
  <si>
    <t>RAC.AG.ROB.3</t>
  </si>
  <si>
    <t>Té croix 1"</t>
  </si>
  <si>
    <t>RAC.AG.SIM.</t>
  </si>
  <si>
    <t>Raccord union simple en AG</t>
  </si>
  <si>
    <t>3.7.1</t>
  </si>
  <si>
    <t>RAC.AG.SIM.1</t>
  </si>
  <si>
    <t>Raccord union DE 1''</t>
  </si>
  <si>
    <t>RAC.AG.VAN.</t>
  </si>
  <si>
    <t xml:space="preserve">Vanne d'arret </t>
  </si>
  <si>
    <t>3.9</t>
  </si>
  <si>
    <t>RAC.AG.VAN.1</t>
  </si>
  <si>
    <t>Vanne d'arret 1"</t>
  </si>
  <si>
    <t>3.9.1</t>
  </si>
  <si>
    <t>RAC.AG.VAN.2</t>
  </si>
  <si>
    <t>Vanne d'arret 3/4"</t>
  </si>
  <si>
    <t>RAC.BT.1</t>
  </si>
  <si>
    <t>A</t>
  </si>
  <si>
    <t>RAC.TUY.</t>
  </si>
  <si>
    <t xml:space="preserve">PIECES DE RACCORD POUR LES TUYAUX </t>
  </si>
  <si>
    <t>3.2.2</t>
  </si>
  <si>
    <t>RAC.TUY.1</t>
  </si>
  <si>
    <t>Adaptateur PVC 32 PN 16</t>
  </si>
  <si>
    <t>RAC.TUY.2</t>
  </si>
  <si>
    <t>Reducteur 63*40</t>
  </si>
  <si>
    <t>3.5</t>
  </si>
  <si>
    <t>Adaptateur PVC 75</t>
  </si>
  <si>
    <t>RAC.TUY.3</t>
  </si>
  <si>
    <t>Collier de prise en charge AG 2''/1'' avec vanne de regulation 1''</t>
  </si>
  <si>
    <t>3.1</t>
  </si>
  <si>
    <t>RAC.TUY.4</t>
  </si>
  <si>
    <t>Coude pvc 110</t>
  </si>
  <si>
    <t>3.7</t>
  </si>
  <si>
    <t>RAC.TUY.5</t>
  </si>
  <si>
    <t>Coude PVC75</t>
  </si>
  <si>
    <t>RAC.TUY.COL.</t>
  </si>
  <si>
    <t>Réduction à coller en PVC</t>
  </si>
  <si>
    <t>3.4.1</t>
  </si>
  <si>
    <t>RAC.TUY.COL.1</t>
  </si>
  <si>
    <t>Réduction 40/32</t>
  </si>
  <si>
    <t>3.6</t>
  </si>
  <si>
    <t>RAC.TUY.MIX.</t>
  </si>
  <si>
    <t>Raccords union mixte PVC-Acier galvanisé</t>
  </si>
  <si>
    <t>Raccors union mixte PVC-Acier galvanisé</t>
  </si>
  <si>
    <t>3.3.2</t>
  </si>
  <si>
    <t>RAC.TUY.MIX.1</t>
  </si>
  <si>
    <t>Manchons DE 32-1''</t>
  </si>
  <si>
    <t>3.3.1</t>
  </si>
  <si>
    <t>RAC.TUY.MIX.2</t>
  </si>
  <si>
    <t>Manchons DE 40-1 1/4''</t>
  </si>
  <si>
    <t>3.4</t>
  </si>
  <si>
    <t>RAC.TUY.MIX.3</t>
  </si>
  <si>
    <t>Manchons 2"1/2</t>
  </si>
  <si>
    <t>REH.RES.1</t>
  </si>
  <si>
    <t>Réhabilitation d'un réservoir de 10m3</t>
  </si>
  <si>
    <t>Réhabilitation réservoir de 10 m³</t>
  </si>
  <si>
    <t>REH.SCEP.</t>
  </si>
  <si>
    <t>REHABILITATION SCEP</t>
  </si>
  <si>
    <t>4.0</t>
  </si>
  <si>
    <t>REH.SCEP.1</t>
  </si>
  <si>
    <t>Réhabilitation du SCEP 10 m3</t>
  </si>
  <si>
    <t>4.1</t>
  </si>
  <si>
    <t>REH.SCEP.2</t>
  </si>
  <si>
    <t>Réhabilitation SCEP 30 m3</t>
  </si>
  <si>
    <t>4.2</t>
  </si>
  <si>
    <t>REH.SCEP.3</t>
  </si>
  <si>
    <t>Puisards</t>
  </si>
  <si>
    <t>RES.EV.</t>
  </si>
  <si>
    <t>RESEAU  D'EVACUATION DES EAUX PLUVIALES</t>
  </si>
  <si>
    <t>RES.EV.01</t>
  </si>
  <si>
    <t>RES.EV.1</t>
  </si>
  <si>
    <t xml:space="preserve">Caniveaux  maçonnés  en briques de dimensions intérieures 30x30cm </t>
  </si>
  <si>
    <t>RES.EV.2</t>
  </si>
  <si>
    <t xml:space="preserve">Réhabilitation du caniveau maçonné en briques </t>
  </si>
  <si>
    <t>RES.EV.02</t>
  </si>
  <si>
    <t>RES.EV.3</t>
  </si>
  <si>
    <t xml:space="preserve">Réhabilitation trottoirs </t>
  </si>
  <si>
    <t>REV.</t>
  </si>
  <si>
    <t>REVETEMENT</t>
  </si>
  <si>
    <t xml:space="preserve">REVETEMENTS </t>
  </si>
  <si>
    <t>REV.01</t>
  </si>
  <si>
    <t>REV.MUR.</t>
  </si>
  <si>
    <t>Revêtements  muraux</t>
  </si>
  <si>
    <t>Revêtements muraux</t>
  </si>
  <si>
    <t>REV.1</t>
  </si>
  <si>
    <t>REVETEMENT DES MURS</t>
  </si>
  <si>
    <t>REV.01.1</t>
  </si>
  <si>
    <t>REV.MUR.1</t>
  </si>
  <si>
    <t xml:space="preserve">Enduits en deux couches sur murs intérieurs, colonnes et chainages supérieurs (Gobetis et enduit de finition) </t>
  </si>
  <si>
    <t>REV.01.2</t>
  </si>
  <si>
    <t>REV.MUR.2</t>
  </si>
  <si>
    <t xml:space="preserve">Rejointoyage des murs extérieurs en briques de terre cuites </t>
  </si>
  <si>
    <t>REV.1.2</t>
  </si>
  <si>
    <t>Rejointoyage des murs extérieurs partie stock Labo</t>
  </si>
  <si>
    <t>REV.01.3</t>
  </si>
  <si>
    <t>REV.MUR.3</t>
  </si>
  <si>
    <t xml:space="preserve">Plinthe en cimen lissée </t>
  </si>
  <si>
    <t>REV.01.4</t>
  </si>
  <si>
    <t>REV.MUR.4</t>
  </si>
  <si>
    <t>Enduit tyrolien sur une bande de 40cm de  hauteur sur tout le pourtour extérieur du bloc</t>
  </si>
  <si>
    <t>REV.1.1</t>
  </si>
  <si>
    <t>REV.MUR.5</t>
  </si>
  <si>
    <t xml:space="preserve">Enduits en deux couches sur murs intérieurs (Gobetis et enduit de finition) </t>
  </si>
  <si>
    <t>REV.1.3</t>
  </si>
  <si>
    <t>REV.MUR.6</t>
  </si>
  <si>
    <t>Carreaux de faiences sur piedroits pour supports des paillasses dans le Laboratoire</t>
  </si>
  <si>
    <t>REV.02</t>
  </si>
  <si>
    <t>REV.SOL.</t>
  </si>
  <si>
    <t>Revêtements  de sol</t>
  </si>
  <si>
    <t>REV.2</t>
  </si>
  <si>
    <t xml:space="preserve">REVETEMENT DES SOLS </t>
  </si>
  <si>
    <t>REV.02.1</t>
  </si>
  <si>
    <t>REV.SOL.1</t>
  </si>
  <si>
    <t>Revêtements de sol en ciment lissée</t>
  </si>
  <si>
    <t>REV.02.2</t>
  </si>
  <si>
    <t>REV.SOL.2</t>
  </si>
  <si>
    <t>Revêtements en ciment talochée sur trottoirs et caniveaux</t>
  </si>
  <si>
    <t>REV.2.1</t>
  </si>
  <si>
    <t>REV.SOL.3</t>
  </si>
  <si>
    <t>Chape lissée dans le stock Labo</t>
  </si>
  <si>
    <t>REV.2.2</t>
  </si>
  <si>
    <t>REV.SOL.4</t>
  </si>
  <si>
    <t>Remise en état des parties démolies sur sol</t>
  </si>
  <si>
    <t>REV.2.3</t>
  </si>
  <si>
    <t>REV.SOL.5</t>
  </si>
  <si>
    <t>Carreaux de faiences sur paillasses dans le Laboratoire</t>
  </si>
  <si>
    <t>STOCK.</t>
  </si>
  <si>
    <t>STOCKAGE AQUATANK</t>
  </si>
  <si>
    <t>STOCK.1</t>
  </si>
  <si>
    <t>Tank de 2000L</t>
  </si>
  <si>
    <t>STOCK.2</t>
  </si>
  <si>
    <t>Tank de 2500L</t>
  </si>
  <si>
    <t>STOCK.3</t>
  </si>
  <si>
    <t>Tank de 5000L</t>
  </si>
  <si>
    <t>STOCK.4</t>
  </si>
  <si>
    <t>Tank de 10000L</t>
  </si>
  <si>
    <t>TERR.</t>
  </si>
  <si>
    <t xml:space="preserve">TERRASSEMENTS  </t>
  </si>
  <si>
    <t>TERR.1</t>
  </si>
  <si>
    <t>Fouilles de fondations filantes en béton cyclopéen et des semelles isolées sous colonnes</t>
  </si>
  <si>
    <t>TERR.CAN.</t>
  </si>
  <si>
    <t>TERRASSEMENT EN TRANCHEE POUR POSE DES CANALISATIONS</t>
  </si>
  <si>
    <t>1 001</t>
  </si>
  <si>
    <t>TERR.CAN.1</t>
  </si>
  <si>
    <t>Terrassement en tranchée en terrain toute nature et toute profondeur</t>
  </si>
  <si>
    <t>TOIT.</t>
  </si>
  <si>
    <t>TOITURE: CHARPENTE , COUVERTURE et ETANCHEITE</t>
  </si>
  <si>
    <t>TOIT.01</t>
  </si>
  <si>
    <t>TOIT.1</t>
  </si>
  <si>
    <t xml:space="preserve">Demi - Fermes en tubes métalliques de 60x40x1,5mm, long 8,75m </t>
  </si>
  <si>
    <t>TOIT.02</t>
  </si>
  <si>
    <t>TOIT.2</t>
  </si>
  <si>
    <t xml:space="preserve">Pannes en tubes métalliques de 40x40x1,5mm </t>
  </si>
  <si>
    <t>TOIT.03</t>
  </si>
  <si>
    <t>TOIT.3</t>
  </si>
  <si>
    <t>Planches de rive en profilé C150x30x1,5mm</t>
  </si>
  <si>
    <t>TOIT.04.01</t>
  </si>
  <si>
    <t>TOIT.4</t>
  </si>
  <si>
    <t xml:space="preserve">Couverture en tôles BAC ALUZINC, ép : 5mm </t>
  </si>
  <si>
    <t>TR. PR.</t>
  </si>
  <si>
    <t xml:space="preserve">TRAVAUX PREPARATOIRES </t>
  </si>
  <si>
    <t>TR. PR.1</t>
  </si>
  <si>
    <t>Installation de chantier</t>
  </si>
  <si>
    <t>y compris dans les postes</t>
  </si>
  <si>
    <t>Installation de chantier et repli de chantier</t>
  </si>
  <si>
    <t>Installation de chantier et repli de chantier (Lycée comm. KIRUNDO)</t>
  </si>
  <si>
    <t>Installation de chantier et repli de chantier (St. Famille de KANYINYA)</t>
  </si>
  <si>
    <t>TR. PR.4</t>
  </si>
  <si>
    <t>TR. PR.10</t>
  </si>
  <si>
    <t>Préparation et Réparation des zones dégradées</t>
  </si>
  <si>
    <t>TR. PR.3</t>
  </si>
  <si>
    <t>TR. PR.11</t>
  </si>
  <si>
    <t>Réhabilitation de la dalle de couverture de la Fosse et vidange</t>
  </si>
  <si>
    <t>TR. PR.12</t>
  </si>
  <si>
    <t>Réhabilitation du système d'alimentation en eau potable du bloc</t>
  </si>
  <si>
    <t xml:space="preserve">Réhabilitation du système d'alimentation en eau potable </t>
  </si>
  <si>
    <t>TR. PR.13</t>
  </si>
  <si>
    <t>Réhabilitation du système d'alimentation en eau potable y compris ceux des rampes d'eau</t>
  </si>
  <si>
    <t>TR. PR.2</t>
  </si>
  <si>
    <t>TR. PR.14</t>
  </si>
  <si>
    <t>Réhabilitation du système d'évacuation des eaux usées</t>
  </si>
  <si>
    <t>TR. PR.15</t>
  </si>
  <si>
    <t>Réhabilitation du système d'évacuation vers la Fosse septique et puits perdu</t>
  </si>
  <si>
    <t>Démolition des claustras pour fenetres ou portes</t>
  </si>
  <si>
    <t>Démolition des murs jusqu'au niveau des chainages supérieurs y compris l'évacuation des gravats</t>
  </si>
  <si>
    <t>Démolition d'une partie du passage couvert</t>
  </si>
  <si>
    <t xml:space="preserve">Démontage des fenêtres y compris le dépose </t>
  </si>
  <si>
    <t>TR. PR.6</t>
  </si>
  <si>
    <t xml:space="preserve">Démontage des installations électriques y compris le dépose </t>
  </si>
  <si>
    <t>TR. PR.7</t>
  </si>
  <si>
    <t>Démolition du trottoir côté local technique pour passage de la longrine et fausse colonne</t>
  </si>
  <si>
    <t>TR. PR.5</t>
  </si>
  <si>
    <t xml:space="preserve">Démontage des portes y compris le dépose </t>
  </si>
  <si>
    <t>TR. PR.9</t>
  </si>
  <si>
    <t>Démontage du faux plafond existant y compris le dépose</t>
  </si>
  <si>
    <t xml:space="preserve">Enlevement de la charpente, poteaux métalliques et couverture de la classe existante y compris le dépose </t>
  </si>
  <si>
    <t>TR. PR.8</t>
  </si>
  <si>
    <t xml:space="preserve">Enlevement des tôles en amiante ciment y compris l'enfouillement </t>
  </si>
  <si>
    <t xml:space="preserve">Nettoyage du revêtement de sol </t>
  </si>
  <si>
    <t>TR.DIV.</t>
  </si>
  <si>
    <t>TRAVAUX DIVERS</t>
  </si>
  <si>
    <t>TR.DIV.1</t>
  </si>
  <si>
    <t>Mise en service</t>
  </si>
  <si>
    <t>Km</t>
  </si>
  <si>
    <t>4 00</t>
  </si>
  <si>
    <t>4 101</t>
  </si>
  <si>
    <t>1.9</t>
  </si>
  <si>
    <t>TR.DIV.2</t>
  </si>
  <si>
    <t>Rehabilitation et assainissement du caniveau existant</t>
  </si>
  <si>
    <t>4 102</t>
  </si>
  <si>
    <t>Rehabilitation et assainissement  du caniveau existant</t>
  </si>
  <si>
    <t>TR.DIV.3</t>
  </si>
  <si>
    <t>Réhabilitation chambre de vanne pour le de 10m3</t>
  </si>
  <si>
    <t>TR.PR.</t>
  </si>
  <si>
    <t>TR.PR.1</t>
  </si>
  <si>
    <t xml:space="preserve">Installation de chantier </t>
  </si>
  <si>
    <t>TR.PR.2</t>
  </si>
  <si>
    <t>TR.SCL.</t>
  </si>
  <si>
    <t>SOCLE</t>
  </si>
  <si>
    <t>(BIF)</t>
  </si>
  <si>
    <t>H98H97:H98</t>
  </si>
  <si>
    <t>1.1</t>
  </si>
  <si>
    <t>TR.SCL.1</t>
  </si>
  <si>
    <t>Terrassement et fouille de fondation</t>
  </si>
  <si>
    <t>1.2</t>
  </si>
  <si>
    <t>TR.SCL.10</t>
  </si>
  <si>
    <t>Fondation en herisson de moellon</t>
  </si>
  <si>
    <t>m3</t>
  </si>
  <si>
    <t>TR.SCL.2</t>
  </si>
  <si>
    <t>TR.SCL.3</t>
  </si>
  <si>
    <t>1.3</t>
  </si>
  <si>
    <t>Elevation du socle en moellon</t>
  </si>
  <si>
    <t>TR.SCL.4</t>
  </si>
  <si>
    <t>1.4</t>
  </si>
  <si>
    <t>Compactage intérieur</t>
  </si>
  <si>
    <t>TR.SCL.5</t>
  </si>
  <si>
    <t>1.5</t>
  </si>
  <si>
    <t>enduit taloché sur socle</t>
  </si>
  <si>
    <t>m2</t>
  </si>
  <si>
    <t>Enduit taloché sur socle</t>
  </si>
  <si>
    <t>TR.SCL.6</t>
  </si>
  <si>
    <t>1.6</t>
  </si>
  <si>
    <t>Pose et fixation du tank avec accessoires</t>
  </si>
  <si>
    <t>TR.SCL.7</t>
  </si>
  <si>
    <t>construction de la protection en briques cuite</t>
  </si>
  <si>
    <t>TR.SCL.8</t>
  </si>
  <si>
    <t>1.8</t>
  </si>
  <si>
    <t>Contruction caniveau d'evacuation</t>
  </si>
  <si>
    <t>Contruction caniveau d'evacuation 30cm X30cm</t>
  </si>
  <si>
    <t>Contruction caniveau d'evacuation 30cm x30cm</t>
  </si>
  <si>
    <t>Contruction caniveau d'evacuation 30x30</t>
  </si>
  <si>
    <t>Contruction caniveau d'evacuation de 30x30</t>
  </si>
  <si>
    <t>TR.SCL.9</t>
  </si>
  <si>
    <t>Construction puisard</t>
  </si>
  <si>
    <t>profondeur en ml</t>
  </si>
  <si>
    <t>TUY. AG.</t>
  </si>
  <si>
    <t xml:space="preserve">TUYAUX EN ACIER </t>
  </si>
  <si>
    <t>TUY. AG.1</t>
  </si>
  <si>
    <t>2.1.2</t>
  </si>
  <si>
    <t>TUY. AG.2</t>
  </si>
  <si>
    <t>TUY. PEHD</t>
  </si>
  <si>
    <t xml:space="preserve">TUYAUX PEHD </t>
  </si>
  <si>
    <t>TUY. PEHD.1</t>
  </si>
  <si>
    <t>Tuyau PEHD ø 32 PN 16</t>
  </si>
  <si>
    <t>TUY. PEHD.2</t>
  </si>
  <si>
    <t>Tuyau PEHD ø 40 PN 10</t>
  </si>
  <si>
    <t>TUY. PHD</t>
  </si>
  <si>
    <t xml:space="preserve">TUYAUX PHD </t>
  </si>
  <si>
    <t>TUY. PHD.1</t>
  </si>
  <si>
    <t>TUY. PHD.2</t>
  </si>
  <si>
    <t>TUY. PVC</t>
  </si>
  <si>
    <t xml:space="preserve">TUYAUX PVC </t>
  </si>
  <si>
    <t>15% MO</t>
  </si>
  <si>
    <t xml:space="preserve">20% Aléas+Imprévu </t>
  </si>
  <si>
    <t>TUY. PVC.1</t>
  </si>
  <si>
    <t xml:space="preserve">Tuyau PVC DE 110 </t>
  </si>
  <si>
    <t>TUY. PVC.2</t>
  </si>
  <si>
    <t>TUY. PVC.3</t>
  </si>
  <si>
    <t>Tuyaux PPR 1/2</t>
  </si>
  <si>
    <t>TUY. PVC.4</t>
  </si>
  <si>
    <t>Tuyaux PVC 75 pour trop plein et vidange</t>
  </si>
  <si>
    <t>TUY.PVC.3</t>
  </si>
  <si>
    <t>BORDEREAUX DES PRIX UNITAIRES POUR LES TRAVAUX DE MISE À NIVEAU POUR LA PROMOTION DES SCIENCES ET DES TIC DANS LES 10 LYCÉES DE LA PROVINCE KIRUNDO – BURUNDI</t>
  </si>
  <si>
    <t xml:space="preserve"> Quantité </t>
  </si>
  <si>
    <t>PRIX UNITAIRE EN EUROS</t>
  </si>
  <si>
    <t>Installation de chantier et repli de chantier (KANYINYA)</t>
  </si>
  <si>
    <t>Installation de chantier et repli de chantier (KIRUNDO)</t>
  </si>
  <si>
    <t>Installation de chantier et repli de chantier (BUGABIRA)</t>
  </si>
  <si>
    <t>Installation de chantier et repli de chantier (RUKURAMIGABO)</t>
  </si>
  <si>
    <t>Installation de chantier et repli de chantier (KIGOZI)</t>
  </si>
  <si>
    <t>Installation de chantier et repli de chantier (MWENYA)</t>
  </si>
  <si>
    <t>Installation de chantier et repli de chantier (NTEGA)</t>
  </si>
  <si>
    <t>Installation de chantier et repli de chantier (CUMVA)</t>
  </si>
  <si>
    <t>Installation de chantier et repli de chantier (COM. VUMBI)</t>
  </si>
  <si>
    <t>Installation de chantier et repli de chantier (INT. VUMBI)</t>
  </si>
  <si>
    <t xml:space="preserve">Enlevement de la charpente, poteaux métalliques et couverture de la classe existante y compris la dépose </t>
  </si>
  <si>
    <r>
      <t>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</si>
  <si>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m</t>
    </r>
    <r>
      <rPr>
        <vertAlign val="superscript"/>
        <sz val="10"/>
        <rFont val="Calibri Light"/>
        <family val="2"/>
        <scheme val="major"/>
      </rPr>
      <t>2</t>
    </r>
  </si>
  <si>
    <t xml:space="preserve">Démontage des fenêtres y compris la dépose </t>
  </si>
  <si>
    <t xml:space="preserve">Démontage des portes y compris la dépose </t>
  </si>
  <si>
    <t xml:space="preserve">Démontage des installations électriques y compris la dépose </t>
  </si>
  <si>
    <t>TR. PR.16</t>
  </si>
  <si>
    <t>TR. PR.17</t>
  </si>
  <si>
    <t>TR. PR.18</t>
  </si>
  <si>
    <t>TERR</t>
  </si>
  <si>
    <t xml:space="preserve">TERRASSEMENT </t>
  </si>
  <si>
    <r>
      <t>m</t>
    </r>
    <r>
      <rPr>
        <vertAlign val="superscript"/>
        <sz val="10"/>
        <rFont val="Calibri Light"/>
        <family val="2"/>
        <scheme val="major"/>
      </rPr>
      <t>3</t>
    </r>
  </si>
  <si>
    <t>TERR.2</t>
  </si>
  <si>
    <r>
      <t>m</t>
    </r>
    <r>
      <rPr>
        <vertAlign val="superscript"/>
        <sz val="10"/>
        <color rgb="FF000000"/>
        <rFont val="Calibri Light"/>
        <family val="2"/>
        <scheme val="major"/>
      </rPr>
      <t>3</t>
    </r>
  </si>
  <si>
    <t>Béton armé de semelles</t>
  </si>
  <si>
    <t xml:space="preserve">Béton armé de chainage bas ou longrine basse 20cm x20cm </t>
  </si>
  <si>
    <t xml:space="preserve">Béton armé de chainages hauts 20cm x 20cm </t>
  </si>
  <si>
    <t>Lit de sable sous pavement épaisseur 5 cm</t>
  </si>
  <si>
    <t>MAC.04</t>
  </si>
  <si>
    <t>Maçonnerie des piedroits pour supports des paillasses dans le Laboratoire, ép : 10cm</t>
  </si>
  <si>
    <t xml:space="preserve">REVETEMENT </t>
  </si>
  <si>
    <t>Enduit tyrolien sur une bande de 40cm de  hauteur sur tout le pourtour extérieur de ce bloc</t>
  </si>
  <si>
    <t xml:space="preserve"> m² </t>
  </si>
  <si>
    <t>REV.SOL</t>
  </si>
  <si>
    <t xml:space="preserve"> Revêtements de sol en ciment lissée</t>
  </si>
  <si>
    <t xml:space="preserve"> Revêtements en ciment talochée sur trottoirs et caniveaux</t>
  </si>
  <si>
    <t xml:space="preserve"> HUI.FEN </t>
  </si>
  <si>
    <t xml:space="preserve"> Fenêtres  </t>
  </si>
  <si>
    <t xml:space="preserve"> HUI.FEN.1 </t>
  </si>
  <si>
    <t xml:space="preserve"> Fenêtres métalliques vitrées y compris les barres antivols 
FMV-01 : 150X170 selon modèle existant  </t>
  </si>
  <si>
    <t xml:space="preserve"> HUI.FEN.2 </t>
  </si>
  <si>
    <t xml:space="preserve"> Fenêtres métalliques vitrées y compris les barres antivols 
FMV-02 : 145X70 selon modèle existant  </t>
  </si>
  <si>
    <t xml:space="preserve"> HUI.POR-FEN </t>
  </si>
  <si>
    <t xml:space="preserve"> Portes - Fenetres </t>
  </si>
  <si>
    <t xml:space="preserve"> HUI.POR-FEN.1 </t>
  </si>
  <si>
    <t xml:space="preserve"> Portes fenetres métalliques vitrées avec imposte PFMV-01 : 165X255  selon modèle existant  </t>
  </si>
  <si>
    <t xml:space="preserve"> pce </t>
  </si>
  <si>
    <t xml:space="preserve"> HUI.POR-FEN.2 </t>
  </si>
  <si>
    <t xml:space="preserve"> Portes fenetres métalliques simple PMS-01 : 65X200cm selon modèle existant  </t>
  </si>
  <si>
    <t xml:space="preserve"> HUI.POR-FEN.3 </t>
  </si>
  <si>
    <t xml:space="preserve"> Portes fenetres métalliques simple PMS-01 : 60X200cm selon modèle existant  </t>
  </si>
  <si>
    <t>HUI.POR</t>
  </si>
  <si>
    <t>HUI.POR.1</t>
  </si>
  <si>
    <t>Portes métalliques simples 90x210cm y compris serrurerie et toutes sujétions</t>
  </si>
  <si>
    <t>HUI.POR.2</t>
  </si>
  <si>
    <t>Portes métalliques simples 75x190 cm y compris serrurerie et toutes sujétions</t>
  </si>
  <si>
    <t>HUI.POR.3</t>
  </si>
  <si>
    <t>COUV</t>
  </si>
  <si>
    <t>GOUTT</t>
  </si>
  <si>
    <t>GOUTT.AG.1</t>
  </si>
  <si>
    <t>Gouttières en Toles planes avec Naissance de 110</t>
  </si>
  <si>
    <t>GOUTT.AG.2</t>
  </si>
  <si>
    <t xml:space="preserve"> FAU.PL. </t>
  </si>
  <si>
    <t xml:space="preserve"> FAUX PLAFOND </t>
  </si>
  <si>
    <t xml:space="preserve"> FAU.PL.01 </t>
  </si>
  <si>
    <t xml:space="preserve"> PEI. </t>
  </si>
  <si>
    <t xml:space="preserve"> PEINTURES  </t>
  </si>
  <si>
    <t xml:space="preserve"> PEI.01 </t>
  </si>
  <si>
    <t xml:space="preserve"> Peinture vinylique sur les enduits intérieurs </t>
  </si>
  <si>
    <t xml:space="preserve"> PEI.02 </t>
  </si>
  <si>
    <t xml:space="preserve"> Peinture acrylique sur les enduits Extérieurs </t>
  </si>
  <si>
    <t xml:space="preserve"> PEI.03 </t>
  </si>
  <si>
    <t xml:space="preserve"> Peinture glycérophtalique sur les huisseries  </t>
  </si>
  <si>
    <t xml:space="preserve"> PEI.04 </t>
  </si>
  <si>
    <t xml:space="preserve"> Peinture sur le Tableau noir </t>
  </si>
  <si>
    <t>PEI.05</t>
  </si>
  <si>
    <r>
      <t>m</t>
    </r>
    <r>
      <rPr>
        <vertAlign val="superscript"/>
        <sz val="10"/>
        <color rgb="FFC00000"/>
        <rFont val="Calibri Light"/>
        <family val="2"/>
        <scheme val="major"/>
      </rPr>
      <t>2</t>
    </r>
  </si>
  <si>
    <t>PEI.06</t>
  </si>
  <si>
    <t>PEI.07</t>
  </si>
  <si>
    <t>PEI.08</t>
  </si>
  <si>
    <t>PL. SAN.3</t>
  </si>
  <si>
    <t>PL. SAN.4</t>
  </si>
  <si>
    <t>PL. SAN.5</t>
  </si>
  <si>
    <t>PL. SAN.6</t>
  </si>
  <si>
    <t xml:space="preserve"> RES.EV. </t>
  </si>
  <si>
    <t xml:space="preserve"> RES.EV.01 </t>
  </si>
  <si>
    <t xml:space="preserve"> RES.EV.02 </t>
  </si>
  <si>
    <t xml:space="preserve"> RES.EV.03 </t>
  </si>
  <si>
    <t>TRA.DIV</t>
  </si>
  <si>
    <t>TRA.DIV 1</t>
  </si>
  <si>
    <t>ELE.TAB-CABL</t>
  </si>
  <si>
    <t>ELE.TAB</t>
  </si>
  <si>
    <t>ELE.CABL</t>
  </si>
  <si>
    <t>ELEC.CABL.1</t>
  </si>
  <si>
    <t>ELEC.CABL.2</t>
  </si>
  <si>
    <t>ELEC.CABL.3</t>
  </si>
  <si>
    <t>ELEC.CABL.4</t>
  </si>
  <si>
    <t>ELEC.CABL.5</t>
  </si>
  <si>
    <t>ELE.MIS</t>
  </si>
  <si>
    <t>ELE.LUM</t>
  </si>
  <si>
    <t>ELE.LUM.1</t>
  </si>
  <si>
    <t>ELE.LUM.2</t>
  </si>
  <si>
    <t>ELE.PRIS</t>
  </si>
  <si>
    <t>ELE.PRIS.1</t>
  </si>
  <si>
    <t>Prise normale apparente  avec terre (230V, 16A, 2P) dans les bureaux admnistratif, salle informatique+labo</t>
  </si>
  <si>
    <t>ELE.PROT</t>
  </si>
  <si>
    <t>ELE.PROT.1</t>
  </si>
  <si>
    <t>ELE.PROT.2</t>
  </si>
  <si>
    <t>ELE.PROT.3</t>
  </si>
  <si>
    <t>ELE.PROT.4</t>
  </si>
  <si>
    <t>ELE.PROT.5</t>
  </si>
  <si>
    <t>ELE.PROT.6</t>
  </si>
  <si>
    <t>ELE.PROT.7</t>
  </si>
  <si>
    <t xml:space="preserve">Tige en cuivre + Accessoires de fixation et cablage de liaison </t>
  </si>
  <si>
    <t>ELE.PROT.8</t>
  </si>
  <si>
    <t>ELE.PROT.9</t>
  </si>
  <si>
    <t>ELE.PROT.10</t>
  </si>
  <si>
    <t>ELE.PROT.11</t>
  </si>
  <si>
    <t>ELE.PROT.12</t>
  </si>
  <si>
    <t>ELE.PROT.13</t>
  </si>
  <si>
    <t>RAC-BT</t>
  </si>
  <si>
    <t>RAC-BT.1</t>
  </si>
  <si>
    <t>ELE.PROT.PA</t>
  </si>
  <si>
    <t>ELE.PROT.PA.1</t>
  </si>
  <si>
    <t xml:space="preserve">FOUR. </t>
  </si>
  <si>
    <t>FOURNITURES POUR LES RESERVOIRS</t>
  </si>
  <si>
    <t>Désignation</t>
  </si>
  <si>
    <t>TUY.PEHD.</t>
  </si>
  <si>
    <t>TUYAUX PEHD</t>
  </si>
  <si>
    <t>TUY.PEHD.1</t>
  </si>
  <si>
    <t>TUY.PEHD.2</t>
  </si>
  <si>
    <t>TUY.PEHD.3</t>
  </si>
  <si>
    <t>Tuyau PEHD ø 25 PN 16</t>
  </si>
  <si>
    <t>TUY.AG.</t>
  </si>
  <si>
    <t>TUY.AG.1</t>
  </si>
  <si>
    <t>TUY.AG.2</t>
  </si>
  <si>
    <t>PIEC-RAC</t>
  </si>
  <si>
    <t>Réducteur 63*40</t>
  </si>
  <si>
    <t>Collier de prise en charge AG 2''/1'' avec vanne de régulation 1''</t>
  </si>
  <si>
    <t>RAC.MIX.AG</t>
  </si>
  <si>
    <t>RAC.MIX.AG.1</t>
  </si>
  <si>
    <t>RAC.MIX.AG.2</t>
  </si>
  <si>
    <t>RAC.AG.RED</t>
  </si>
  <si>
    <t>RAC.AG.1</t>
  </si>
  <si>
    <t>RAC.AG.NIPL</t>
  </si>
  <si>
    <t>RAC.AG.NIPL.1</t>
  </si>
  <si>
    <t>RAC.AG.VAN</t>
  </si>
  <si>
    <t>RAC.AG.PUI</t>
  </si>
  <si>
    <t>RAC.AG.PUI.1</t>
  </si>
  <si>
    <t>RAC.AG.PUI.2</t>
  </si>
  <si>
    <t>Té Croix 1"</t>
  </si>
  <si>
    <t>RAC.AG.ROB</t>
  </si>
  <si>
    <t>RAC.AG.CREP</t>
  </si>
  <si>
    <t>RAC.AG.CREP.1</t>
  </si>
  <si>
    <t>RAC.AG.PC</t>
  </si>
  <si>
    <t xml:space="preserve">TRAV. </t>
  </si>
  <si>
    <t>TRAVAUX POUR LES RESERVOIRS</t>
  </si>
  <si>
    <t>TERR.3</t>
  </si>
  <si>
    <t>Terrassement en tranchée en terrain toute nature et toute profondeur - reservoirs</t>
  </si>
  <si>
    <t>POS-EQUIP</t>
  </si>
  <si>
    <t>POS.PEHD</t>
  </si>
  <si>
    <t>POSE DES TUYAUX PEHD ET PVC ET PIECES DE RACCORD</t>
  </si>
  <si>
    <t>POS.PEHD.1</t>
  </si>
  <si>
    <t>Tuyau PEHD DE 40 PN 10</t>
  </si>
  <si>
    <t>POS.PEHD.2</t>
  </si>
  <si>
    <t>POS.PEHD.3</t>
  </si>
  <si>
    <t>POS.RAC-AG</t>
  </si>
  <si>
    <t>POS.RAC-AG.1</t>
  </si>
  <si>
    <t>POS.RAC-AG.2</t>
  </si>
  <si>
    <t>CONST.GC</t>
  </si>
  <si>
    <t>CONS.RES.</t>
  </si>
  <si>
    <t>CONS.RES.1</t>
  </si>
  <si>
    <t>CONS.RES.2</t>
  </si>
  <si>
    <t>CONS.RES.3</t>
  </si>
  <si>
    <t>CONS.RES.4</t>
  </si>
  <si>
    <t>CONST.PE</t>
  </si>
  <si>
    <t>CONST.PE.1</t>
  </si>
  <si>
    <t>CONST.PE.2</t>
  </si>
  <si>
    <t xml:space="preserve">Construction d'une rampe de 6 robinets y compris la construction d'une chambre de vannes 0,80 x0,80 m </t>
  </si>
  <si>
    <t>CONST.PE.3</t>
  </si>
  <si>
    <t xml:space="preserve">Construction d'une rampe de 4 robinets y compris la construction d'une chambre de vannes 0,80 x0,80 m </t>
  </si>
  <si>
    <t>CONST.PE.4</t>
  </si>
  <si>
    <t xml:space="preserve">Construction de borne fontaine simple </t>
  </si>
  <si>
    <t>REH.RES.</t>
  </si>
  <si>
    <t>REHABILITATION DES RESERVOIRS&amp; POINTS D'EAU</t>
  </si>
  <si>
    <t>Réhabilitation d'un réservoir de 10 m³</t>
  </si>
  <si>
    <t>REH.RES.2</t>
  </si>
  <si>
    <t>Réhabilitation de la chambre de vanne pour le R10 m³</t>
  </si>
  <si>
    <t>REH.RES.3</t>
  </si>
  <si>
    <t>Réhabilitation de la borne fontaine</t>
  </si>
  <si>
    <t>REH.RES.4</t>
  </si>
  <si>
    <t xml:space="preserve">Réhabilitation de la rampe à 6 robinets </t>
  </si>
  <si>
    <t>FOURNITURES POUR LES SCEP</t>
  </si>
  <si>
    <t>TUY.PVC</t>
  </si>
  <si>
    <t>TUY.PVC.1</t>
  </si>
  <si>
    <t>TUY.PVC.2</t>
  </si>
  <si>
    <t>RAC.PVC</t>
  </si>
  <si>
    <t>RAC.PVC.1</t>
  </si>
  <si>
    <t>Coude PVC 110</t>
  </si>
  <si>
    <t>RAC.PVC.2</t>
  </si>
  <si>
    <t>RAC.PVC.3</t>
  </si>
  <si>
    <t>RAC.PVC.4</t>
  </si>
  <si>
    <t>RAC.PVC.5</t>
  </si>
  <si>
    <t>RAC.PVC.6</t>
  </si>
  <si>
    <t>RAC.PVC.7</t>
  </si>
  <si>
    <t>RAC.PVC.8</t>
  </si>
  <si>
    <t>RAC.PVC.9</t>
  </si>
  <si>
    <t>RAC.PVC.10</t>
  </si>
  <si>
    <t>RES AQUA</t>
  </si>
  <si>
    <t>RESERVOIR DE STOCKAGE AQUATANK</t>
  </si>
  <si>
    <t>RES AQUA.1</t>
  </si>
  <si>
    <t>RES AQUA.2</t>
  </si>
  <si>
    <t>RES AQUA.3</t>
  </si>
  <si>
    <t>RES AQUA.4</t>
  </si>
  <si>
    <t>TRAVAUX POUR LES SCEP</t>
  </si>
  <si>
    <t>Fondation en hérisson de moellon</t>
  </si>
  <si>
    <t xml:space="preserve">Terrassement et fouille de fondation pour les Socles </t>
  </si>
  <si>
    <t>Construction de la protection en briques cuite</t>
  </si>
  <si>
    <t>REHABILITATION DES SCEP</t>
  </si>
  <si>
    <t>Réhabilitation du SCEP de 30m³</t>
  </si>
  <si>
    <t>Réhabilitation du SCEP de 10m³</t>
  </si>
  <si>
    <t xml:space="preserve">FOR. </t>
  </si>
  <si>
    <t xml:space="preserve">FORAGE </t>
  </si>
  <si>
    <t>FOR-TROU</t>
  </si>
  <si>
    <t>FORAGE-TROUS</t>
  </si>
  <si>
    <t>FOR-TROU.1</t>
  </si>
  <si>
    <t>FOR-TROU.2</t>
  </si>
  <si>
    <t>FOR-TROU.3</t>
  </si>
  <si>
    <t>FOR-TROU.4</t>
  </si>
  <si>
    <t>FOR-TROU.5</t>
  </si>
  <si>
    <t>FOR-TROU.6</t>
  </si>
  <si>
    <t>POMP-ACC</t>
  </si>
  <si>
    <t>POMPE ET ACCESSOIRES</t>
  </si>
  <si>
    <t>POMP-ACC.1</t>
  </si>
  <si>
    <t>POMP-ACC.2</t>
  </si>
  <si>
    <t>POMP-ACC.3</t>
  </si>
  <si>
    <t>POMP-ACC.4</t>
  </si>
  <si>
    <t>POMP-ACC.5</t>
  </si>
  <si>
    <t>POMP-ACC.6</t>
  </si>
  <si>
    <t>POMP-ACC.7</t>
  </si>
  <si>
    <t>POMP-ACC.8</t>
  </si>
  <si>
    <t>POMP-ACC.9</t>
  </si>
  <si>
    <t>POMP-ACC.10</t>
  </si>
  <si>
    <t>POMP-ACC.11</t>
  </si>
  <si>
    <t>POMP-ACC.12</t>
  </si>
  <si>
    <t>PLOMB-TUY</t>
  </si>
  <si>
    <t>PLOMBERIE ET ​​TUYAUTERIE</t>
  </si>
  <si>
    <t>PLOMB-TUY.1</t>
  </si>
  <si>
    <t>PLOMB-TUY.2</t>
  </si>
  <si>
    <t>PLOMB-TUY.3</t>
  </si>
  <si>
    <t>PLOMB-TUY.4</t>
  </si>
  <si>
    <t>PLOMB-TUY.5</t>
  </si>
  <si>
    <t>PLOMB-TUY.6</t>
  </si>
  <si>
    <t>PLOMB-TUY.7</t>
  </si>
  <si>
    <t>PLOMB-TUY.8</t>
  </si>
  <si>
    <t xml:space="preserve">A.  CONSTRUCTION NOUVELLE DE LA SALLE DES TIC </t>
  </si>
  <si>
    <t xml:space="preserve"> PU en Euros </t>
  </si>
  <si>
    <t xml:space="preserve"> P Total en Euros </t>
  </si>
  <si>
    <t xml:space="preserve">   </t>
  </si>
  <si>
    <t>S/T poste TR.PR.</t>
  </si>
  <si>
    <t xml:space="preserve">Sous-Total poste 2:TERRASSEMENTS </t>
  </si>
  <si>
    <t>BET</t>
  </si>
  <si>
    <t>Sous-Total poste 3 : BETONS</t>
  </si>
  <si>
    <t>Total poste 4 : PAVEMENT INTERIEUR ET EXTERIEUR</t>
  </si>
  <si>
    <t>Total poste 5 : MACONNERIE</t>
  </si>
  <si>
    <t>REV.MUR</t>
  </si>
  <si>
    <t>Total poste 7 : REVETEMENT</t>
  </si>
  <si>
    <t xml:space="preserve">Total poste 8 : HUISSERIES </t>
  </si>
  <si>
    <t>Total poste 6 : TOITURE: CHARPENTE , COUVERTURE et ETANCHEITE</t>
  </si>
  <si>
    <t xml:space="preserve"> Total poste 9 : FAUX PLAFOND </t>
  </si>
  <si>
    <t xml:space="preserve"> TOTAL PEINTURES. </t>
  </si>
  <si>
    <t xml:space="preserve">TOTAL SALLE TIC </t>
  </si>
  <si>
    <t xml:space="preserve">B. REHABILITATION DU LABORATOIRE EXISTANT </t>
  </si>
  <si>
    <t xml:space="preserve">Inclus dans le poste "mise a niveau des Installations électriques" </t>
  </si>
  <si>
    <t xml:space="preserve">TOTAL Laboratoire </t>
  </si>
  <si>
    <t>C. REHABILITATION DES SANITAIRES INTERIEURS GARCONS ET FILLES (BLOC E)</t>
  </si>
  <si>
    <t xml:space="preserve">Inclus dans les postes </t>
  </si>
  <si>
    <t xml:space="preserve"> Portes  </t>
  </si>
  <si>
    <t xml:space="preserve"> HUI.POR-FEN.2</t>
  </si>
  <si>
    <t xml:space="preserve"> Portes fenetres métalliques simple PMS-01 : 65X200 selon modèle existant  </t>
  </si>
  <si>
    <t xml:space="preserve"> RES.EV.03</t>
  </si>
  <si>
    <t>TOTAL REHABILITATION DU BLOC E</t>
  </si>
  <si>
    <t>D. REHABILITATION DES SANITAIRES EXTERIEURES GARCONS ET FILLES (BLOC F)</t>
  </si>
  <si>
    <t xml:space="preserve"> HUI.POR-FEN.3</t>
  </si>
  <si>
    <t xml:space="preserve"> Portes fenetres métalliques simple PMS-01 : 60X200 selon modèle existant  </t>
  </si>
  <si>
    <t xml:space="preserve">Inclus dans les postes de la Mise à niveau des Installations Electriques </t>
  </si>
  <si>
    <t>TOTAL REHABILITATION DU BLOC F</t>
  </si>
  <si>
    <t>E. DEVIS ESTIMATIF ET QUANTITATIF STOCKAGE D'EAU POTABLE ET SCEP DU LYCEE KANYINYA</t>
  </si>
  <si>
    <t>I. Devis estimatif des fournitures pour le Réservoir d'Eau Potable R10 m³</t>
  </si>
  <si>
    <t>Pièces de raccords</t>
  </si>
  <si>
    <t>S/T Fournitures Hydrauliques</t>
  </si>
  <si>
    <t>II. Devis estimatif des travaux pour R10m³</t>
  </si>
  <si>
    <t xml:space="preserve">S/T Travaux </t>
  </si>
  <si>
    <t>TOTAL I&amp;II</t>
  </si>
  <si>
    <t>TOTAL POUR 2 RESERVOIRS R10m³</t>
  </si>
  <si>
    <t>III. Devis estimatif des fournitures pour le Réservoir d'Eau Potable R 5 m³ &amp; Réhabilitation de 10m³</t>
  </si>
  <si>
    <t>RAC.MIX-AG</t>
  </si>
  <si>
    <t>RAC.RED-COL</t>
  </si>
  <si>
    <t>RAC.RED-COL.1</t>
  </si>
  <si>
    <t>RAC.AG</t>
  </si>
  <si>
    <t>RAC.AG.FLO</t>
  </si>
  <si>
    <t>RAC.AG.FLO.1</t>
  </si>
  <si>
    <t>TOTAL Fourniture Hydraulique</t>
  </si>
  <si>
    <t>IV. Devis estimatif des travaux pour le Réservoir d'Eau Potable R 5 m³ &amp; Réhabilitation de 10m³</t>
  </si>
  <si>
    <t>TERR-POS</t>
  </si>
  <si>
    <t>POS.ROB</t>
  </si>
  <si>
    <t>CONS.PE</t>
  </si>
  <si>
    <t>CONS.PE.1</t>
  </si>
  <si>
    <t>TOTAL TRAVAUX</t>
  </si>
  <si>
    <t xml:space="preserve">TOTAL TRAVAUX+FOURNITURES HTT </t>
  </si>
  <si>
    <t>V. REHABILITATION DES SCEP DE 10m³ ET 30 m³</t>
  </si>
  <si>
    <t>REH.SCEP</t>
  </si>
  <si>
    <t>TOTAL REHABILITATION DES SCEP</t>
  </si>
  <si>
    <t>F. Devis Quantitatif et estimatif pour la Mise à niveau des Installations électriques</t>
  </si>
  <si>
    <t xml:space="preserve">DESIGNATION </t>
  </si>
  <si>
    <t>Prix Unitaires EUR (HTVA)</t>
  </si>
  <si>
    <t xml:space="preserve">TOTAL </t>
  </si>
  <si>
    <t xml:space="preserve">TOTAL DES TRAVAUX LYCEE STE FAMILLE DE KANYINYA </t>
  </si>
  <si>
    <t>DEVIS QUANTITATIF ET ESTIMATIF DES TRAVAUX DE MISE À NIVEAU POUR LA PROMOTION DES SCIENCES ET DES TIC AU LYCÉE KIRUNDO – BURUNDI</t>
  </si>
  <si>
    <t>A. BLOC ADMINISTRATIF - LABORATOIRE - SALLE DES TIC - BIBLIOTHEQUE + ARCHIVAGE</t>
  </si>
  <si>
    <t>P.U en Euros</t>
  </si>
  <si>
    <t>P.Total en Euros</t>
  </si>
  <si>
    <t xml:space="preserve">BET ARM </t>
  </si>
  <si>
    <t>BETON ARME</t>
  </si>
  <si>
    <t>BET ARM.3</t>
  </si>
  <si>
    <t>BET ARM.4</t>
  </si>
  <si>
    <t>BET ARM.5</t>
  </si>
  <si>
    <t xml:space="preserve">MAC </t>
  </si>
  <si>
    <t xml:space="preserve">MACONNERIE </t>
  </si>
  <si>
    <t>Maçonnerie des nouveaux murs en briques cuites, ép : 20cm</t>
  </si>
  <si>
    <t>Portes en bois simples 90x210 y compris serrurerie et toutes sujétions</t>
  </si>
  <si>
    <t>HUI.FEN</t>
  </si>
  <si>
    <t>Peinture acrylique sur mur extérieurs, colonnes et chainages</t>
  </si>
  <si>
    <t>ELE</t>
  </si>
  <si>
    <t xml:space="preserve">Parafoudre AC niveau2 20kA/380V AC </t>
  </si>
  <si>
    <t>B. REHABILITATION DES BLOCS SANITAIRES POUR FILLES</t>
  </si>
  <si>
    <t xml:space="preserve"> P.U en Euros </t>
  </si>
  <si>
    <t xml:space="preserve"> P.Total en Euros </t>
  </si>
  <si>
    <t xml:space="preserve"> FF </t>
  </si>
  <si>
    <t>C. REHABILITATIONS DES BLOC LATRINES DE 4 BOX : 4BLOCS</t>
  </si>
  <si>
    <t xml:space="preserve">Peinture glycérophatalique sur huisseries et intérieurs des Sanitaires </t>
  </si>
  <si>
    <t>D. DEVIS ESTIMATIF ET QUANTITATIF STOCKAGE D'EAU POTABLE DE 10m³ ET 3 SCEP DE 10m³ LYCEE KIRUNDO</t>
  </si>
  <si>
    <t>I. Devis estimatif des Fournitures pour le Réservoir d'Eau Potable R10 m³</t>
  </si>
  <si>
    <t xml:space="preserve"> Type 1" longueur 70 cm</t>
  </si>
  <si>
    <t>II. Devis Quantitatif estimatif des Travaux pour le Réservoir d'Eau Potable R10 m³</t>
  </si>
  <si>
    <t>Tuyau PHED ø 32 PN 16</t>
  </si>
  <si>
    <t xml:space="preserve">TOTAL TRAVAUX </t>
  </si>
  <si>
    <t>TOTAL TRAVAUX ET FOURNITURES</t>
  </si>
  <si>
    <t>III. Devis Quantitatif et estimatif des fournitures pour le SCEP R10 m³</t>
  </si>
  <si>
    <t>IV. Devis Quantitatif et estimatif des travaux pour le SCEP R10 m³</t>
  </si>
  <si>
    <t xml:space="preserve">TOTAL TRAVAUX  </t>
  </si>
  <si>
    <t>TOTAL TRAVAUX+FOURNITURES HTT</t>
  </si>
  <si>
    <t>TOTAL 3 SCEP de 10 m3</t>
  </si>
  <si>
    <t>TOTAL DES TRAVAUX+ ELECTRICITE EN EUROS HTVA</t>
  </si>
  <si>
    <t>TVA 18%</t>
  </si>
  <si>
    <t>TOTAL EN EUROS TVAC</t>
  </si>
  <si>
    <t>DEVIS QUANTITATIF ET ESTIMATIF POUR LE STOCKAGE D’EAU POTABLE DE 2 m³ ET LE SCEP DE 2 m³ AU LYCÉE BUGABIRA</t>
  </si>
  <si>
    <t xml:space="preserve">I. Devis estimatif des fournitures pour le Réservoir d'Eau Potable 2m³ </t>
  </si>
  <si>
    <t xml:space="preserve"> Prix total en Euros </t>
  </si>
  <si>
    <t>Tuyau PHD ø 25 PN 16</t>
  </si>
  <si>
    <t>II. Devis estimatif des travaux pour R 2m³</t>
  </si>
  <si>
    <t>III. DEVIS DE FOURNITURE SCEP DE 2m³</t>
  </si>
  <si>
    <t xml:space="preserve"> Désignation </t>
  </si>
  <si>
    <t xml:space="preserve"> TUYAUX PVC  </t>
  </si>
  <si>
    <t xml:space="preserve"> Tuyau PVC DE 110  </t>
  </si>
  <si>
    <t xml:space="preserve"> Tuyaux PPR 1/2 </t>
  </si>
  <si>
    <t xml:space="preserve"> Tuyaux PVC 75 pour trop plein et vidange </t>
  </si>
  <si>
    <t xml:space="preserve"> GOUTIERES EN ACIER  </t>
  </si>
  <si>
    <t>TOTAL fourniture Hydraulique</t>
  </si>
  <si>
    <t>IV.Devis estimatif des travaux SCEP DE 2m³</t>
  </si>
  <si>
    <t xml:space="preserve">III. Devis Quantitatif et estimatif pour la Mise à niveau des Installatiosn Electriques ( Bloc Administratif et Salle de Révision) </t>
  </si>
  <si>
    <t xml:space="preserve">Prise normale apparente  avec terre (230V, 16A, 2P) </t>
  </si>
  <si>
    <t>TOTAL DES TRAVAUX+ ELECTRICITE EN EUROS HTVAC</t>
  </si>
  <si>
    <t>DEVIS QUANTITATIF  ET ESTIMATIF POUR LE STOCKAGE D’EAU POTABLE DE 2 m³ ET LE SCEP DE 2 m³ 
AU LYCÉE COMMUNAL RUKURAMIGABO</t>
  </si>
  <si>
    <t>I. Devis estimatif des fournitures R 2m³</t>
  </si>
  <si>
    <t>II. Devis estimatif des travaux SCEP DE 2m³</t>
  </si>
  <si>
    <t>Contruction caniveau d'evacuation de 30cm x30cm</t>
  </si>
  <si>
    <t>Eléments de protection</t>
  </si>
  <si>
    <t>TOTAT HORS TAXES</t>
  </si>
  <si>
    <t>DEVIS QUANTITATIF ET ESTIMATIF POUR LA RÉHABILITATION DU STOCKAGE D’EAU POTABLE DE 10 m³ ET CONSTRUCTION DU SCEP DE 
2 m³ AU LYCÉE COMMUNAL KIGOZI</t>
  </si>
  <si>
    <t xml:space="preserve">I. Devis estimatif des Fournitures pour le Réservoir R10 m³ </t>
  </si>
  <si>
    <t xml:space="preserve">II. Devis Quantitatif et estimatif des travaux pour le Réservoir R10 m³ </t>
  </si>
  <si>
    <t xml:space="preserve"> TERRASSEMENT ET POSE</t>
  </si>
  <si>
    <t>Chambre de vannes de dimensions intérieurs 0,50 m x 0,50 m</t>
  </si>
  <si>
    <t>REHABILITATION DES RESERVOIRS &amp; POINTS D'EAU</t>
  </si>
  <si>
    <t>Réhabilitation et assainissement du caniveau existant</t>
  </si>
  <si>
    <t>III. Devis Quantitatif et Estimatif pour la Fourniture SCEP de 2 m³</t>
  </si>
  <si>
    <t>IV. Devis Quantitatif et Estimatif pour les Travaux SCEP de 2 m³</t>
  </si>
  <si>
    <t xml:space="preserve">Contruction caniveau d'evacuation 30cm x30cm </t>
  </si>
  <si>
    <t>V. Devis Quantitatif et estimatif pour la Mise à niveau des Installatiosn Electriques</t>
  </si>
  <si>
    <t xml:space="preserve"> Prix Total EUR (HTVA) </t>
  </si>
  <si>
    <t>ELEC.CABL</t>
  </si>
  <si>
    <t xml:space="preserve">TOTAL DES TRAVAUX+ ELECTRICITE EN EUROS HTVA </t>
  </si>
  <si>
    <t>DEVIS QUANTITATIF ET ESTIMATIF POUR LE STOCKAGE D’EAU POTABLE DE 2 m³ ET LE SCEP DE 2 m³ AU LYCÉE COMMUNAL MWENYA</t>
  </si>
  <si>
    <t>I. Devis Quantitatif et estimatif des fournitures du Réservoir d'Eau Potable 2m3</t>
  </si>
  <si>
    <t>TUY.PEHD</t>
  </si>
  <si>
    <t>Tuyau PHD ø32 PN 16</t>
  </si>
  <si>
    <t>II. Devis Quantitatif et estimatif pour les Travaux R 2m3</t>
  </si>
  <si>
    <t>III. Devis Quantitatif et estimatif pour les Fournitures pour le SCEP 2m3</t>
  </si>
  <si>
    <t>Coude PVC 75</t>
  </si>
  <si>
    <t>IV. Devis Quantitatif et estimatif pour les Travaux pour le SCEP 2m3</t>
  </si>
  <si>
    <t xml:space="preserve"> Unité </t>
  </si>
  <si>
    <t xml:space="preserve">V. Devis Quantitatif et estimatif la Mise à niveau des Installatiosn Electriques de la salle de Révision </t>
  </si>
  <si>
    <t xml:space="preserve"> Prix Unitaires EUR (HTVA) </t>
  </si>
  <si>
    <t>Y compris dans les autres postes</t>
  </si>
  <si>
    <t xml:space="preserve">VI. DEVIS QUANTITATIF ET ESTIMATIF POUR UN FORAGE D'EAU POTABLE  </t>
  </si>
  <si>
    <r>
      <t>N</t>
    </r>
    <r>
      <rPr>
        <b/>
        <vertAlign val="superscript"/>
        <sz val="10"/>
        <color rgb="FF000000"/>
        <rFont val="Calibri Light"/>
        <family val="2"/>
        <scheme val="major"/>
      </rPr>
      <t>O</t>
    </r>
  </si>
  <si>
    <t>Designation</t>
  </si>
  <si>
    <t xml:space="preserve"> PU en Euros  </t>
  </si>
  <si>
    <t xml:space="preserve"> P.T en Euros  </t>
  </si>
  <si>
    <t>FOR.</t>
  </si>
  <si>
    <t>FORAGE</t>
  </si>
  <si>
    <t>TOTAL ETUDE ET RAPPORT</t>
  </si>
  <si>
    <t xml:space="preserve">TOTAL TROU </t>
  </si>
  <si>
    <t>TOTAL PUMP AND ACCESSORIES</t>
  </si>
  <si>
    <t>TOTAL PLOMBERIE ET ​​TUYAUTERIE</t>
  </si>
  <si>
    <t>GRAND TOTAL HTVA</t>
  </si>
  <si>
    <t>TOTAL POUR TRAVAUX+ FORAGE + ELECTRICITE EN EUROS HTVA</t>
  </si>
  <si>
    <t>DEVIS QUANTITATIF ET ESTIMATIF POUR LE STOCKAGE D’EAU POTABLE DE 2,5 m³ ET LE SCEP DE 2,5 m³ AU LYCÉE COMMUNAL NTEGA</t>
  </si>
  <si>
    <t>I. Devis Quantitatif et estimatif des Fournitures pour le Réservoir d'Eau Potable R 2,5 m3</t>
  </si>
  <si>
    <t>II. Devis Quantitatif et estimatif les Travaux pour le Réservoir d'Eau Potable R 2,5 m3</t>
  </si>
  <si>
    <t>III. Devis Quantitatif et estimatif des Fournitures pour le SCEP  R 2,5 m3</t>
  </si>
  <si>
    <t>IV. Devis Quantitatif et estimatif des Travaux pour le SCEP  R 2,5 m3</t>
  </si>
  <si>
    <t xml:space="preserve"> m3 </t>
  </si>
  <si>
    <t xml:space="preserve"> m2 </t>
  </si>
  <si>
    <t xml:space="preserve"> piece </t>
  </si>
  <si>
    <t xml:space="preserve">TOTAL TRAVAUX+FOURNITURES HTT  </t>
  </si>
  <si>
    <t xml:space="preserve">V. Devis Quantitatif et estimatif la ise à niveau des Installatiosn Electriques du Bloc Administratif et de la salle de Révision </t>
  </si>
  <si>
    <t>Prise normale apparente  avec terre (230V, 16A, 2P) dans les bureaux admnistratif, salle informatique, préfectures, bibliothèque</t>
  </si>
  <si>
    <t>DEVIS QUANTITATIF ET ESTIMATIF POUR LE SCEP DE 2 m³ AU LYCÉE COMMUNAL CUMVA</t>
  </si>
  <si>
    <t>I. Devis Quantitatif et estimatif des Fournitures pour le SCEP 2 m3</t>
  </si>
  <si>
    <t>II. Devis Quantitatif et estimatif des Travaux pour le SCEP 2 m3</t>
  </si>
  <si>
    <t xml:space="preserve">TOTAL TRAVAUX (FBU)  </t>
  </si>
  <si>
    <t xml:space="preserve">TOTAL TRAVAUX+FOURNITURES HTT (FBU)  </t>
  </si>
  <si>
    <t>III. Devis Quantitatif et estimatif pour la mise à niveau des Installatiosn Electriques (Bloc Administratif+ Salle de révision)</t>
  </si>
  <si>
    <t>Câblage et Filerie du cte AC</t>
  </si>
  <si>
    <t>DEVIS QUANTITATIF ET ESTIMATIF POUR LE STOCKAGE D’EAU POTABLE DE 2,5 m³ ET LE SCEP DE 2,5 m³ AU LYCÉE COMMUNAL VUMBI</t>
  </si>
  <si>
    <t>RAC.TUY.ROB</t>
  </si>
  <si>
    <t>RAC.TUY</t>
  </si>
  <si>
    <t>II. Devis Quantitatif et estimatif des travaux pour le Réservoir d'Eau Potable R 2,5 m3</t>
  </si>
  <si>
    <t xml:space="preserve">Construction de Rampe à 6 robinets y compris la construction d'une chambre de vannes 0,80 x0,80 m </t>
  </si>
  <si>
    <t>TRAV-DIV</t>
  </si>
  <si>
    <t>TRAV-DIV.1</t>
  </si>
  <si>
    <t>III. Devis Quantitatif et estimatif des Fournitures pour le SCEP de 2,5 m3</t>
  </si>
  <si>
    <t>Gouttières en Tôles planes avec Naissance de 110</t>
  </si>
  <si>
    <t>IV. Devis Quantitatif et estimatif des Travaux  pour le SCEP de 2,5 m3</t>
  </si>
  <si>
    <t>V. Devis Quantitatif et estimatif pour la Mise à niveau des Installations Electriques ( Bloc Administraif et Salle de Révision)</t>
  </si>
  <si>
    <t>Prise normale apparente  avec terre (230V, 16A 2P) dans les bureaux admnistratif, salle informatique, prefectures, biblio</t>
  </si>
  <si>
    <t>DEVIS QUANTITATIF ET ESTIMATIF POUR LE SCEP DE 5 m³ AU LYCÉE INTEGRITE DE VUMBI</t>
  </si>
  <si>
    <t>I. Devis Quantitatif et estimatif des Fournitures pour le SCEP 5 m3</t>
  </si>
  <si>
    <t>RES. AQUA</t>
  </si>
  <si>
    <t>II. Devis Quantitatif et estimatif pour les Travaux pour le SCEP 5 m3</t>
  </si>
  <si>
    <t>III. Devis Quantitatif et estimatif pour la Mise à niveau de l'Electricité ( Bloc Administratif et Une Salle de révision)</t>
  </si>
  <si>
    <t xml:space="preserve">Mise à la terre (câble ø 25mm2) </t>
  </si>
  <si>
    <t xml:space="preserve">RECAPITULATIF GENERAL </t>
  </si>
  <si>
    <t>RECAPITULATIF  ( EUR HTVA)</t>
  </si>
  <si>
    <t xml:space="preserve">Unité </t>
  </si>
  <si>
    <t xml:space="preserve">Quantité </t>
  </si>
  <si>
    <t xml:space="preserve">PU en Euros </t>
  </si>
  <si>
    <t>PT en Euros</t>
  </si>
  <si>
    <t xml:space="preserve">1) Lycée KIRUNDO </t>
  </si>
  <si>
    <t>Lots des Blocs</t>
  </si>
  <si>
    <t xml:space="preserve">2) Lycée SAINTE FAMILLE KANYINYA </t>
  </si>
  <si>
    <t>3) Lycée Communal de BUGABIRA</t>
  </si>
  <si>
    <t>4) Lycée Communal de RUKUBAMIGABO</t>
  </si>
  <si>
    <t>5) Lycée Communal de KIGOZI</t>
  </si>
  <si>
    <t>6) Lycée INTEGRITE DE MWENYA</t>
  </si>
  <si>
    <t>7) Lycée Communal de NTEGA</t>
  </si>
  <si>
    <t>8) Lycée Communal de CUMVA</t>
  </si>
  <si>
    <t>9) Lycée Communal de VUMBI</t>
  </si>
  <si>
    <t>10) Lycée INTEGRITE DE VUMBI</t>
  </si>
  <si>
    <t>TOTAL GENERAL (HTVA)</t>
  </si>
  <si>
    <t>TVA (18%)</t>
  </si>
  <si>
    <t>TOTAL GENERAL  (TVAC)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</si>
</sst>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\ &quot;€&quot;;[Red]\-#,##0.00\ &quot;€&quot;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* #,##0_);_(* \(#,##0\);_(* &quot;-&quot;??_);_(@_)"/>
    <numFmt numFmtId="169" formatCode="_-* #,##0_-;\-* #,##0_-;_-* &quot;-&quot;??_-;_-@_-"/>
    <numFmt numFmtId="170" formatCode="#,##0.00\ &quot;€&quot;"/>
    <numFmt numFmtId="171" formatCode="_-* #,##0.00\ [$€-40C]_-;\-* #,##0.00\ [$€-40C]_-;_-* &quot;-&quot;??\ [$€-40C]_-;_-@_-"/>
    <numFmt numFmtId="172" formatCode="#,##0.000"/>
    <numFmt numFmtId="173" formatCode="#,##0.00\ [$€-80C]"/>
    <numFmt numFmtId="174" formatCode="_-* #,##0.0\ _€_-;\-* #,##0.0\ _€_-;_-* &quot;-&quot;??\ _€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color indexed="8"/>
      <name val="Tahoma"/>
      <family val="2"/>
    </font>
    <font>
      <sz val="11"/>
      <color rgb="FFFF0066"/>
      <name val="Tahoma"/>
      <family val="2"/>
    </font>
    <font>
      <b/>
      <sz val="11"/>
      <color rgb="FFFF0000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vertAlign val="superscript"/>
      <sz val="11"/>
      <color theme="1"/>
      <name val="Tahoma"/>
      <family val="2"/>
    </font>
    <font>
      <sz val="11"/>
      <color theme="9" tint="-0.499984740745262"/>
      <name val="Tahoma"/>
      <family val="2"/>
    </font>
    <font>
      <b/>
      <sz val="12"/>
      <name val="Arial Narrow"/>
      <family val="2"/>
    </font>
    <font>
      <vertAlign val="superscript"/>
      <sz val="11"/>
      <color indexed="8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rgb="FF000000"/>
      <name val="Arial Narrow"/>
      <family val="2"/>
    </font>
    <font>
      <sz val="10"/>
      <color indexed="22"/>
      <name val="Arial"/>
      <family val="2"/>
    </font>
    <font>
      <sz val="11"/>
      <color rgb="FFC0000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vertAlign val="superscript"/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name val="Calibri"/>
      <family val="2"/>
      <scheme val="minor"/>
    </font>
    <font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vertAlign val="superscript"/>
      <sz val="10"/>
      <name val="Calibri Light"/>
      <family val="2"/>
      <scheme val="major"/>
    </font>
    <font>
      <vertAlign val="superscript"/>
      <sz val="10"/>
      <color rgb="FFC00000"/>
      <name val="Calibri Light"/>
      <family val="2"/>
      <scheme val="major"/>
    </font>
    <font>
      <b/>
      <vertAlign val="superscript"/>
      <sz val="10"/>
      <color rgb="FF00000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9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168" fontId="2" fillId="0" borderId="6" xfId="1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167" fontId="2" fillId="0" borderId="6" xfId="1" applyFont="1" applyBorder="1" applyAlignment="1">
      <alignment horizontal="center" vertical="top"/>
    </xf>
    <xf numFmtId="168" fontId="2" fillId="0" borderId="6" xfId="1" applyNumberFormat="1" applyFont="1" applyBorder="1" applyAlignment="1">
      <alignment horizontal="right" vertical="top"/>
    </xf>
    <xf numFmtId="167" fontId="5" fillId="0" borderId="6" xfId="1" applyFont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67" fontId="2" fillId="0" borderId="6" xfId="1" applyFont="1" applyBorder="1" applyAlignment="1">
      <alignment horizontal="center" vertical="top" wrapText="1"/>
    </xf>
    <xf numFmtId="165" fontId="2" fillId="0" borderId="6" xfId="2" applyFont="1" applyBorder="1" applyAlignment="1">
      <alignment horizontal="center" vertical="top" wrapText="1"/>
    </xf>
    <xf numFmtId="166" fontId="5" fillId="0" borderId="6" xfId="1" applyNumberFormat="1" applyFont="1" applyBorder="1" applyAlignment="1" applyProtection="1"/>
    <xf numFmtId="166" fontId="5" fillId="0" borderId="6" xfId="1" applyNumberFormat="1" applyFont="1" applyBorder="1" applyAlignment="1" applyProtection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8" fontId="11" fillId="0" borderId="6" xfId="1" applyNumberFormat="1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168" fontId="3" fillId="0" borderId="6" xfId="1" applyNumberFormat="1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168" fontId="2" fillId="0" borderId="6" xfId="1" applyNumberFormat="1" applyFont="1" applyFill="1" applyBorder="1" applyAlignment="1">
      <alignment vertical="top"/>
    </xf>
    <xf numFmtId="0" fontId="2" fillId="0" borderId="6" xfId="0" applyFont="1" applyBorder="1" applyAlignment="1">
      <alignment wrapText="1"/>
    </xf>
    <xf numFmtId="0" fontId="3" fillId="0" borderId="6" xfId="0" applyFont="1" applyBorder="1"/>
    <xf numFmtId="168" fontId="3" fillId="0" borderId="6" xfId="1" applyNumberFormat="1" applyFont="1" applyBorder="1" applyAlignment="1"/>
    <xf numFmtId="0" fontId="2" fillId="0" borderId="6" xfId="0" applyFont="1" applyBorder="1"/>
    <xf numFmtId="168" fontId="2" fillId="0" borderId="6" xfId="1" applyNumberFormat="1" applyFont="1" applyBorder="1" applyAlignment="1"/>
    <xf numFmtId="0" fontId="3" fillId="0" borderId="6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167" fontId="2" fillId="0" borderId="6" xfId="1" applyFont="1" applyFill="1" applyBorder="1" applyAlignment="1">
      <alignment horizontal="center" vertical="center"/>
    </xf>
    <xf numFmtId="170" fontId="2" fillId="0" borderId="6" xfId="1" applyNumberFormat="1" applyFont="1" applyFill="1" applyBorder="1" applyAlignment="1">
      <alignment horizontal="center" vertical="center"/>
    </xf>
    <xf numFmtId="168" fontId="2" fillId="0" borderId="6" xfId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170" fontId="2" fillId="0" borderId="6" xfId="0" applyNumberFormat="1" applyFont="1" applyBorder="1" applyAlignment="1">
      <alignment horizontal="center" vertical="center"/>
    </xf>
    <xf numFmtId="167" fontId="2" fillId="0" borderId="6" xfId="1" applyFont="1" applyBorder="1" applyAlignment="1"/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7" fontId="3" fillId="0" borderId="6" xfId="1" applyFont="1" applyBorder="1" applyAlignment="1">
      <alignment vertical="top" wrapText="1"/>
    </xf>
    <xf numFmtId="168" fontId="3" fillId="0" borderId="6" xfId="1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horizontal="right" vertical="top"/>
    </xf>
    <xf numFmtId="167" fontId="2" fillId="0" borderId="6" xfId="1" applyFont="1" applyBorder="1" applyAlignment="1">
      <alignment horizontal="right" vertical="top"/>
    </xf>
    <xf numFmtId="168" fontId="3" fillId="0" borderId="6" xfId="1" applyNumberFormat="1" applyFont="1" applyBorder="1" applyAlignment="1">
      <alignment vertical="top"/>
    </xf>
    <xf numFmtId="3" fontId="2" fillId="0" borderId="6" xfId="0" applyNumberFormat="1" applyFont="1" applyBorder="1" applyAlignment="1">
      <alignment vertical="top"/>
    </xf>
    <xf numFmtId="166" fontId="2" fillId="0" borderId="6" xfId="0" applyNumberFormat="1" applyFont="1" applyBorder="1" applyAlignment="1">
      <alignment vertical="top"/>
    </xf>
    <xf numFmtId="2" fontId="2" fillId="0" borderId="6" xfId="0" applyNumberFormat="1" applyFont="1" applyBorder="1" applyAlignment="1">
      <alignment vertical="top"/>
    </xf>
    <xf numFmtId="166" fontId="2" fillId="0" borderId="6" xfId="0" applyNumberFormat="1" applyFont="1" applyBorder="1"/>
    <xf numFmtId="0" fontId="2" fillId="0" borderId="6" xfId="0" applyFont="1" applyBorder="1" applyAlignment="1">
      <alignment horizontal="left" vertical="top"/>
    </xf>
    <xf numFmtId="3" fontId="2" fillId="0" borderId="6" xfId="0" applyNumberFormat="1" applyFont="1" applyBorder="1" applyAlignment="1">
      <alignment horizontal="center" vertical="center"/>
    </xf>
    <xf numFmtId="167" fontId="3" fillId="0" borderId="6" xfId="1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168" fontId="3" fillId="0" borderId="6" xfId="1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vertical="top"/>
    </xf>
    <xf numFmtId="166" fontId="3" fillId="0" borderId="6" xfId="0" applyNumberFormat="1" applyFont="1" applyBorder="1" applyAlignment="1">
      <alignment vertical="top"/>
    </xf>
    <xf numFmtId="166" fontId="3" fillId="0" borderId="6" xfId="0" applyNumberFormat="1" applyFont="1" applyBorder="1"/>
    <xf numFmtId="166" fontId="3" fillId="0" borderId="6" xfId="1" applyNumberFormat="1" applyFont="1" applyBorder="1" applyAlignment="1">
      <alignment vertical="top"/>
    </xf>
    <xf numFmtId="167" fontId="4" fillId="0" borderId="6" xfId="1" applyFont="1" applyBorder="1" applyAlignment="1">
      <alignment horizontal="right" vertical="top"/>
    </xf>
    <xf numFmtId="167" fontId="3" fillId="0" borderId="6" xfId="1" applyFont="1" applyBorder="1" applyAlignment="1">
      <alignment vertical="top"/>
    </xf>
    <xf numFmtId="167" fontId="2" fillId="0" borderId="6" xfId="1" applyFont="1" applyBorder="1" applyAlignment="1">
      <alignment vertical="top"/>
    </xf>
    <xf numFmtId="166" fontId="3" fillId="0" borderId="6" xfId="0" applyNumberFormat="1" applyFont="1" applyBorder="1" applyAlignment="1">
      <alignment horizontal="center" vertical="top"/>
    </xf>
    <xf numFmtId="166" fontId="2" fillId="0" borderId="6" xfId="0" applyNumberFormat="1" applyFont="1" applyBorder="1" applyAlignment="1">
      <alignment horizontal="center" vertical="top"/>
    </xf>
    <xf numFmtId="3" fontId="2" fillId="0" borderId="6" xfId="0" applyNumberFormat="1" applyFont="1" applyBorder="1"/>
    <xf numFmtId="167" fontId="2" fillId="0" borderId="6" xfId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top" wrapText="1"/>
    </xf>
    <xf numFmtId="2" fontId="2" fillId="0" borderId="6" xfId="0" applyNumberFormat="1" applyFont="1" applyBorder="1"/>
    <xf numFmtId="167" fontId="3" fillId="0" borderId="6" xfId="1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2" fontId="2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167" fontId="3" fillId="0" borderId="6" xfId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0" fontId="2" fillId="0" borderId="6" xfId="0" applyNumberFormat="1" applyFont="1" applyBorder="1"/>
    <xf numFmtId="168" fontId="2" fillId="0" borderId="6" xfId="1" applyNumberFormat="1" applyFont="1" applyBorder="1" applyAlignment="1">
      <alignment horizontal="center"/>
    </xf>
    <xf numFmtId="167" fontId="2" fillId="0" borderId="6" xfId="1" applyFont="1" applyFill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170" fontId="2" fillId="0" borderId="6" xfId="0" applyNumberFormat="1" applyFont="1" applyBorder="1" applyAlignment="1">
      <alignment vertical="center"/>
    </xf>
    <xf numFmtId="170" fontId="2" fillId="0" borderId="6" xfId="1" applyNumberFormat="1" applyFont="1" applyFill="1" applyBorder="1" applyAlignment="1">
      <alignment vertical="center"/>
    </xf>
    <xf numFmtId="168" fontId="2" fillId="0" borderId="6" xfId="1" applyNumberFormat="1" applyFont="1" applyFill="1" applyBorder="1" applyAlignment="1">
      <alignment horizontal="center" vertical="top"/>
    </xf>
    <xf numFmtId="168" fontId="3" fillId="0" borderId="6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11" fillId="0" borderId="6" xfId="2" applyFont="1" applyFill="1" applyBorder="1" applyAlignment="1">
      <alignment horizontal="center" vertical="center"/>
    </xf>
    <xf numFmtId="167" fontId="12" fillId="0" borderId="6" xfId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5" fillId="0" borderId="6" xfId="0" applyFont="1" applyBorder="1"/>
    <xf numFmtId="167" fontId="3" fillId="0" borderId="6" xfId="1" applyFont="1" applyFill="1" applyBorder="1" applyAlignment="1">
      <alignment horizontal="center" vertical="center"/>
    </xf>
    <xf numFmtId="171" fontId="3" fillId="0" borderId="6" xfId="1" applyNumberFormat="1" applyFont="1" applyFill="1" applyBorder="1" applyAlignment="1">
      <alignment horizontal="center" vertical="center"/>
    </xf>
    <xf numFmtId="165" fontId="3" fillId="0" borderId="6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3" fontId="2" fillId="0" borderId="6" xfId="1" applyNumberFormat="1" applyFont="1" applyFill="1" applyBorder="1" applyAlignment="1">
      <alignment horizontal="center" vertical="center"/>
    </xf>
    <xf numFmtId="165" fontId="2" fillId="0" borderId="6" xfId="2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left" wrapText="1"/>
    </xf>
    <xf numFmtId="167" fontId="3" fillId="0" borderId="6" xfId="1" applyFont="1" applyFill="1" applyBorder="1" applyAlignment="1">
      <alignment horizontal="left" vertical="center"/>
    </xf>
    <xf numFmtId="167" fontId="2" fillId="0" borderId="6" xfId="1" applyFont="1" applyFill="1" applyBorder="1" applyAlignment="1">
      <alignment horizontal="left" vertical="center" wrapText="1"/>
    </xf>
    <xf numFmtId="167" fontId="3" fillId="0" borderId="6" xfId="1" applyFont="1" applyFill="1" applyBorder="1" applyAlignment="1">
      <alignment horizontal="left" vertical="center" wrapText="1"/>
    </xf>
    <xf numFmtId="0" fontId="7" fillId="0" borderId="6" xfId="0" applyFont="1" applyBorder="1"/>
    <xf numFmtId="3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67" fontId="3" fillId="0" borderId="6" xfId="1" applyFont="1" applyFill="1" applyBorder="1" applyAlignment="1">
      <alignment horizontal="center" vertical="center" wrapText="1"/>
    </xf>
    <xf numFmtId="167" fontId="2" fillId="0" borderId="6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168" fontId="2" fillId="0" borderId="6" xfId="1" applyNumberFormat="1" applyFont="1" applyBorder="1" applyAlignment="1">
      <alignment vertical="top"/>
    </xf>
    <xf numFmtId="172" fontId="2" fillId="0" borderId="6" xfId="0" applyNumberFormat="1" applyFont="1" applyBorder="1" applyAlignment="1">
      <alignment horizontal="center" vertical="center"/>
    </xf>
    <xf numFmtId="172" fontId="3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vertical="top"/>
    </xf>
    <xf numFmtId="166" fontId="2" fillId="3" borderId="6" xfId="0" applyNumberFormat="1" applyFont="1" applyFill="1" applyBorder="1" applyAlignment="1">
      <alignment vertical="top"/>
    </xf>
    <xf numFmtId="170" fontId="2" fillId="0" borderId="6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167" fontId="2" fillId="0" borderId="6" xfId="1" applyFont="1" applyFill="1" applyBorder="1" applyAlignment="1"/>
    <xf numFmtId="167" fontId="2" fillId="0" borderId="6" xfId="1" applyFont="1" applyFill="1" applyBorder="1" applyAlignment="1">
      <alignment horizontal="center"/>
    </xf>
    <xf numFmtId="3" fontId="2" fillId="0" borderId="6" xfId="1" applyNumberFormat="1" applyFont="1" applyFill="1" applyBorder="1" applyAlignment="1">
      <alignment vertical="center"/>
    </xf>
    <xf numFmtId="165" fontId="2" fillId="0" borderId="6" xfId="2" applyFont="1" applyFill="1" applyBorder="1" applyAlignment="1">
      <alignment vertical="center"/>
    </xf>
    <xf numFmtId="3" fontId="2" fillId="0" borderId="6" xfId="1" applyNumberFormat="1" applyFont="1" applyFill="1" applyBorder="1" applyAlignment="1"/>
    <xf numFmtId="165" fontId="2" fillId="0" borderId="6" xfId="2" applyFont="1" applyFill="1" applyBorder="1" applyAlignment="1"/>
    <xf numFmtId="3" fontId="2" fillId="0" borderId="6" xfId="1" applyNumberFormat="1" applyFont="1" applyFill="1" applyBorder="1" applyAlignment="1">
      <alignment horizontal="center"/>
    </xf>
    <xf numFmtId="165" fontId="2" fillId="0" borderId="6" xfId="2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top"/>
    </xf>
    <xf numFmtId="170" fontId="2" fillId="0" borderId="6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8" fontId="3" fillId="0" borderId="6" xfId="1" applyNumberFormat="1" applyFont="1" applyBorder="1" applyAlignment="1">
      <alignment vertical="center" wrapText="1"/>
    </xf>
    <xf numFmtId="168" fontId="2" fillId="0" borderId="6" xfId="1" applyNumberFormat="1" applyFont="1" applyBorder="1" applyAlignment="1">
      <alignment vertical="center"/>
    </xf>
    <xf numFmtId="166" fontId="2" fillId="3" borderId="6" xfId="0" applyNumberFormat="1" applyFont="1" applyFill="1" applyBorder="1" applyAlignment="1">
      <alignment vertical="center"/>
    </xf>
    <xf numFmtId="168" fontId="2" fillId="0" borderId="6" xfId="1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173" fontId="2" fillId="0" borderId="27" xfId="2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2" fontId="2" fillId="0" borderId="23" xfId="2" applyNumberFormat="1" applyFont="1" applyBorder="1"/>
    <xf numFmtId="2" fontId="2" fillId="0" borderId="22" xfId="0" applyNumberFormat="1" applyFont="1" applyBorder="1"/>
    <xf numFmtId="0" fontId="2" fillId="0" borderId="37" xfId="0" applyFont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173" fontId="2" fillId="0" borderId="31" xfId="2" applyNumberFormat="1" applyFont="1" applyBorder="1"/>
    <xf numFmtId="2" fontId="2" fillId="0" borderId="30" xfId="0" applyNumberFormat="1" applyFont="1" applyBorder="1"/>
    <xf numFmtId="2" fontId="2" fillId="0" borderId="32" xfId="0" applyNumberFormat="1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25" xfId="0" applyFont="1" applyBorder="1"/>
    <xf numFmtId="0" fontId="3" fillId="0" borderId="26" xfId="0" applyFont="1" applyBorder="1"/>
    <xf numFmtId="2" fontId="2" fillId="0" borderId="24" xfId="0" applyNumberFormat="1" applyFont="1" applyBorder="1"/>
    <xf numFmtId="173" fontId="2" fillId="0" borderId="38" xfId="2" applyNumberFormat="1" applyFont="1" applyFill="1" applyBorder="1" applyAlignment="1">
      <alignment horizontal="right"/>
    </xf>
    <xf numFmtId="173" fontId="3" fillId="0" borderId="39" xfId="2" applyNumberFormat="1" applyFont="1" applyBorder="1"/>
    <xf numFmtId="173" fontId="3" fillId="0" borderId="38" xfId="2" applyNumberFormat="1" applyFont="1" applyFill="1" applyBorder="1"/>
    <xf numFmtId="0" fontId="3" fillId="0" borderId="42" xfId="0" applyFont="1" applyBorder="1" applyAlignment="1">
      <alignment horizontal="center"/>
    </xf>
    <xf numFmtId="0" fontId="2" fillId="0" borderId="41" xfId="0" applyFont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/>
    <xf numFmtId="0" fontId="3" fillId="0" borderId="45" xfId="0" applyFont="1" applyBorder="1"/>
    <xf numFmtId="173" fontId="3" fillId="0" borderId="40" xfId="2" applyNumberFormat="1" applyFont="1" applyFill="1" applyBorder="1"/>
    <xf numFmtId="0" fontId="3" fillId="0" borderId="47" xfId="0" applyFont="1" applyBorder="1" applyAlignment="1">
      <alignment horizontal="center"/>
    </xf>
    <xf numFmtId="2" fontId="2" fillId="0" borderId="27" xfId="2" applyNumberFormat="1" applyFont="1" applyFill="1" applyBorder="1" applyAlignment="1">
      <alignment horizontal="right"/>
    </xf>
    <xf numFmtId="173" fontId="3" fillId="0" borderId="48" xfId="2" applyNumberFormat="1" applyFont="1" applyBorder="1"/>
    <xf numFmtId="173" fontId="3" fillId="0" borderId="49" xfId="2" applyNumberFormat="1" applyFont="1" applyFill="1" applyBorder="1"/>
    <xf numFmtId="173" fontId="3" fillId="0" borderId="50" xfId="2" applyNumberFormat="1" applyFont="1" applyFill="1" applyBorder="1"/>
    <xf numFmtId="173" fontId="3" fillId="0" borderId="43" xfId="2" applyNumberFormat="1" applyFont="1" applyBorder="1"/>
    <xf numFmtId="173" fontId="3" fillId="0" borderId="42" xfId="2" applyNumberFormat="1" applyFont="1" applyFill="1" applyBorder="1"/>
    <xf numFmtId="173" fontId="3" fillId="0" borderId="46" xfId="2" applyNumberFormat="1" applyFont="1" applyFill="1" applyBorder="1"/>
    <xf numFmtId="2" fontId="2" fillId="0" borderId="27" xfId="2" applyNumberFormat="1" applyFont="1" applyFill="1" applyBorder="1" applyAlignment="1">
      <alignment horizontal="center"/>
    </xf>
    <xf numFmtId="2" fontId="2" fillId="0" borderId="27" xfId="2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/>
    </xf>
    <xf numFmtId="0" fontId="3" fillId="5" borderId="16" xfId="0" applyFont="1" applyFill="1" applyBorder="1"/>
    <xf numFmtId="0" fontId="2" fillId="5" borderId="17" xfId="0" applyFont="1" applyFill="1" applyBorder="1"/>
    <xf numFmtId="2" fontId="3" fillId="5" borderId="18" xfId="2" applyNumberFormat="1" applyFont="1" applyFill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  <xf numFmtId="2" fontId="3" fillId="5" borderId="19" xfId="0" applyNumberFormat="1" applyFont="1" applyFill="1" applyBorder="1" applyAlignment="1">
      <alignment horizontal="center" vertical="center"/>
    </xf>
    <xf numFmtId="0" fontId="3" fillId="0" borderId="51" xfId="0" applyFont="1" applyBorder="1"/>
    <xf numFmtId="0" fontId="2" fillId="0" borderId="51" xfId="0" applyFont="1" applyBorder="1"/>
    <xf numFmtId="167" fontId="2" fillId="0" borderId="6" xfId="1" applyFont="1" applyBorder="1" applyAlignment="1">
      <alignment vertical="center"/>
    </xf>
    <xf numFmtId="167" fontId="4" fillId="0" borderId="6" xfId="1" applyFont="1" applyBorder="1" applyAlignment="1">
      <alignment vertical="top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165" fontId="2" fillId="0" borderId="6" xfId="2" applyFont="1" applyBorder="1" applyAlignment="1">
      <alignment vertical="top" wrapText="1"/>
    </xf>
    <xf numFmtId="167" fontId="2" fillId="0" borderId="6" xfId="1" applyFont="1" applyBorder="1" applyAlignment="1">
      <alignment vertical="top" wrapText="1"/>
    </xf>
    <xf numFmtId="0" fontId="0" fillId="0" borderId="0" xfId="0" applyAlignment="1">
      <alignment horizontal="center"/>
    </xf>
    <xf numFmtId="167" fontId="2" fillId="0" borderId="6" xfId="1" applyFont="1" applyBorder="1" applyAlignment="1">
      <alignment vertical="center" wrapText="1"/>
    </xf>
    <xf numFmtId="168" fontId="2" fillId="0" borderId="6" xfId="1" applyNumberFormat="1" applyFont="1" applyBorder="1" applyAlignment="1">
      <alignment horizontal="center" vertical="center" wrapText="1"/>
    </xf>
    <xf numFmtId="167" fontId="3" fillId="0" borderId="6" xfId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6" fontId="5" fillId="0" borderId="6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/>
    <xf numFmtId="0" fontId="17" fillId="0" borderId="0" xfId="0" applyFont="1"/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top" wrapText="1"/>
    </xf>
    <xf numFmtId="167" fontId="2" fillId="0" borderId="6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167" fontId="2" fillId="0" borderId="6" xfId="1" applyFont="1" applyBorder="1" applyAlignment="1">
      <alignment horizontal="right" vertical="top" wrapText="1"/>
    </xf>
    <xf numFmtId="167" fontId="2" fillId="0" borderId="6" xfId="1" applyFont="1" applyBorder="1" applyAlignment="1">
      <alignment horizontal="right" vertical="center" wrapText="1"/>
    </xf>
    <xf numFmtId="167" fontId="4" fillId="0" borderId="6" xfId="1" applyFont="1" applyBorder="1" applyAlignment="1">
      <alignment horizontal="right" vertical="top" wrapText="1"/>
    </xf>
    <xf numFmtId="167" fontId="2" fillId="0" borderId="6" xfId="1" applyFont="1" applyBorder="1"/>
    <xf numFmtId="167" fontId="4" fillId="0" borderId="6" xfId="1" applyFont="1" applyBorder="1" applyAlignment="1">
      <alignment horizontal="right" vertical="center" wrapText="1"/>
    </xf>
    <xf numFmtId="167" fontId="4" fillId="0" borderId="6" xfId="1" applyFont="1" applyBorder="1"/>
    <xf numFmtId="167" fontId="3" fillId="0" borderId="6" xfId="1" applyFont="1" applyBorder="1" applyAlignment="1">
      <alignment horizontal="right" vertical="top" wrapText="1"/>
    </xf>
    <xf numFmtId="165" fontId="2" fillId="0" borderId="6" xfId="2" applyFont="1" applyBorder="1" applyAlignment="1">
      <alignment vertical="top"/>
    </xf>
    <xf numFmtId="165" fontId="3" fillId="0" borderId="6" xfId="2" applyFont="1" applyBorder="1" applyAlignment="1">
      <alignment vertical="top" wrapText="1"/>
    </xf>
    <xf numFmtId="165" fontId="2" fillId="0" borderId="6" xfId="2" applyFont="1" applyBorder="1" applyAlignment="1">
      <alignment horizontal="right" vertical="top" wrapText="1"/>
    </xf>
    <xf numFmtId="168" fontId="2" fillId="0" borderId="6" xfId="1" applyNumberFormat="1" applyFont="1" applyBorder="1" applyAlignment="1">
      <alignment horizontal="right" vertical="center" wrapText="1"/>
    </xf>
    <xf numFmtId="168" fontId="2" fillId="2" borderId="6" xfId="1" applyNumberFormat="1" applyFont="1" applyFill="1" applyBorder="1" applyAlignment="1">
      <alignment horizontal="right" vertical="top" wrapText="1"/>
    </xf>
    <xf numFmtId="4" fontId="2" fillId="0" borderId="6" xfId="0" applyNumberFormat="1" applyFont="1" applyBorder="1" applyAlignment="1">
      <alignment vertical="top"/>
    </xf>
    <xf numFmtId="4" fontId="2" fillId="0" borderId="6" xfId="0" applyNumberFormat="1" applyFont="1" applyBorder="1" applyAlignment="1">
      <alignment vertical="center"/>
    </xf>
    <xf numFmtId="166" fontId="2" fillId="0" borderId="6" xfId="1" applyNumberFormat="1" applyFont="1" applyBorder="1" applyAlignment="1">
      <alignment vertical="top"/>
    </xf>
    <xf numFmtId="166" fontId="2" fillId="0" borderId="6" xfId="1" applyNumberFormat="1" applyFont="1" applyBorder="1" applyAlignment="1">
      <alignment vertical="center"/>
    </xf>
    <xf numFmtId="170" fontId="2" fillId="3" borderId="6" xfId="0" applyNumberFormat="1" applyFont="1" applyFill="1" applyBorder="1" applyAlignment="1">
      <alignment vertical="top"/>
    </xf>
    <xf numFmtId="166" fontId="2" fillId="0" borderId="6" xfId="0" applyNumberFormat="1" applyFont="1" applyBorder="1" applyAlignment="1">
      <alignment horizontal="right" vertical="center" wrapText="1"/>
    </xf>
    <xf numFmtId="169" fontId="5" fillId="0" borderId="6" xfId="1" applyNumberFormat="1" applyFont="1" applyBorder="1" applyAlignment="1" applyProtection="1">
      <alignment horizontal="center" vertical="center" wrapText="1"/>
    </xf>
    <xf numFmtId="0" fontId="0" fillId="0" borderId="2" xfId="0" applyBorder="1"/>
    <xf numFmtId="0" fontId="18" fillId="0" borderId="0" xfId="0" applyFont="1"/>
    <xf numFmtId="0" fontId="7" fillId="0" borderId="6" xfId="0" applyFont="1" applyBorder="1" applyAlignment="1">
      <alignment horizontal="center" vertical="top"/>
    </xf>
    <xf numFmtId="174" fontId="7" fillId="0" borderId="6" xfId="0" applyNumberFormat="1" applyFont="1" applyBorder="1" applyAlignment="1">
      <alignment horizontal="center" vertical="center"/>
    </xf>
    <xf numFmtId="174" fontId="2" fillId="0" borderId="6" xfId="0" applyNumberFormat="1" applyFont="1" applyBorder="1" applyAlignment="1">
      <alignment horizontal="center" vertical="center"/>
    </xf>
    <xf numFmtId="174" fontId="2" fillId="0" borderId="6" xfId="1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7" fontId="2" fillId="0" borderId="6" xfId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vertical="top"/>
    </xf>
    <xf numFmtId="0" fontId="19" fillId="0" borderId="6" xfId="0" applyFont="1" applyBorder="1" applyAlignment="1">
      <alignment horizontal="left" vertical="top"/>
    </xf>
    <xf numFmtId="174" fontId="19" fillId="0" borderId="6" xfId="0" applyNumberFormat="1" applyFont="1" applyBorder="1" applyAlignment="1">
      <alignment horizontal="center" vertical="top"/>
    </xf>
    <xf numFmtId="170" fontId="19" fillId="0" borderId="6" xfId="1" applyNumberFormat="1" applyFont="1" applyFill="1" applyBorder="1" applyAlignment="1">
      <alignment horizontal="center" vertical="center"/>
    </xf>
    <xf numFmtId="174" fontId="19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vertical="top"/>
    </xf>
    <xf numFmtId="17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4" fontId="10" fillId="0" borderId="6" xfId="1" applyNumberFormat="1" applyFont="1" applyFill="1" applyBorder="1" applyAlignment="1">
      <alignment horizontal="center" vertical="center"/>
    </xf>
    <xf numFmtId="167" fontId="4" fillId="0" borderId="6" xfId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top" wrapText="1"/>
    </xf>
    <xf numFmtId="168" fontId="4" fillId="0" borderId="6" xfId="1" applyNumberFormat="1" applyFont="1" applyBorder="1" applyAlignment="1">
      <alignment horizontal="right" vertical="center" wrapText="1"/>
    </xf>
    <xf numFmtId="165" fontId="4" fillId="0" borderId="6" xfId="2" applyFont="1" applyBorder="1" applyAlignment="1">
      <alignment horizontal="right" vertical="top" wrapText="1"/>
    </xf>
    <xf numFmtId="168" fontId="2" fillId="0" borderId="6" xfId="1" applyNumberFormat="1" applyFont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top"/>
    </xf>
    <xf numFmtId="167" fontId="3" fillId="4" borderId="12" xfId="1" applyFont="1" applyFill="1" applyBorder="1" applyAlignment="1">
      <alignment horizontal="center" vertical="center"/>
    </xf>
    <xf numFmtId="168" fontId="3" fillId="4" borderId="12" xfId="1" applyNumberFormat="1" applyFont="1" applyFill="1" applyBorder="1" applyAlignment="1">
      <alignment vertical="top"/>
    </xf>
    <xf numFmtId="0" fontId="2" fillId="4" borderId="12" xfId="0" applyFont="1" applyFill="1" applyBorder="1"/>
    <xf numFmtId="2" fontId="2" fillId="0" borderId="12" xfId="0" applyNumberFormat="1" applyFont="1" applyBorder="1" applyAlignment="1">
      <alignment horizontal="center" vertical="center"/>
    </xf>
    <xf numFmtId="167" fontId="3" fillId="0" borderId="12" xfId="1" applyFont="1" applyBorder="1" applyAlignment="1">
      <alignment horizontal="center" vertical="center"/>
    </xf>
    <xf numFmtId="167" fontId="3" fillId="4" borderId="14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168" fontId="7" fillId="0" borderId="6" xfId="1" applyNumberFormat="1" applyFont="1" applyFill="1" applyBorder="1" applyAlignment="1">
      <alignment vertical="top"/>
    </xf>
    <xf numFmtId="0" fontId="4" fillId="0" borderId="6" xfId="0" applyFont="1" applyBorder="1"/>
    <xf numFmtId="0" fontId="18" fillId="0" borderId="2" xfId="0" applyFont="1" applyBorder="1"/>
    <xf numFmtId="0" fontId="19" fillId="0" borderId="1" xfId="0" applyFont="1" applyBorder="1" applyAlignment="1">
      <alignment horizontal="center" vertical="top"/>
    </xf>
    <xf numFmtId="0" fontId="17" fillId="0" borderId="2" xfId="0" applyFont="1" applyBorder="1"/>
    <xf numFmtId="3" fontId="2" fillId="3" borderId="6" xfId="0" applyNumberFormat="1" applyFont="1" applyFill="1" applyBorder="1" applyAlignment="1">
      <alignment vertical="top"/>
    </xf>
    <xf numFmtId="168" fontId="2" fillId="2" borderId="6" xfId="1" applyNumberFormat="1" applyFont="1" applyFill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center" vertical="top" wrapText="1"/>
    </xf>
    <xf numFmtId="166" fontId="3" fillId="0" borderId="6" xfId="1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/>
    </xf>
    <xf numFmtId="3" fontId="3" fillId="2" borderId="6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165" fontId="2" fillId="2" borderId="6" xfId="2" applyFont="1" applyFill="1" applyBorder="1" applyAlignment="1">
      <alignment horizontal="right" vertical="top" wrapText="1"/>
    </xf>
    <xf numFmtId="0" fontId="4" fillId="0" borderId="6" xfId="0" applyFont="1" applyBorder="1" applyAlignment="1">
      <alignment vertical="center" wrapText="1"/>
    </xf>
    <xf numFmtId="168" fontId="9" fillId="0" borderId="6" xfId="1" applyNumberFormat="1" applyFont="1" applyBorder="1" applyAlignment="1">
      <alignment horizontal="right" vertical="top" wrapText="1"/>
    </xf>
    <xf numFmtId="3" fontId="9" fillId="0" borderId="6" xfId="0" applyNumberFormat="1" applyFont="1" applyBorder="1" applyAlignment="1">
      <alignment vertical="top"/>
    </xf>
    <xf numFmtId="165" fontId="9" fillId="0" borderId="6" xfId="2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12" fillId="0" borderId="6" xfId="0" applyFont="1" applyBorder="1"/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7" fontId="3" fillId="0" borderId="1" xfId="1" applyFont="1" applyFill="1" applyBorder="1" applyAlignment="1">
      <alignment horizontal="center" vertical="center" wrapText="1"/>
    </xf>
    <xf numFmtId="167" fontId="3" fillId="0" borderId="1" xfId="1" applyFont="1" applyFill="1" applyBorder="1" applyAlignment="1">
      <alignment horizontal="center" vertical="center"/>
    </xf>
    <xf numFmtId="167" fontId="2" fillId="0" borderId="1" xfId="1" applyFont="1" applyFill="1" applyBorder="1" applyAlignment="1">
      <alignment horizontal="center" vertical="center"/>
    </xf>
    <xf numFmtId="167" fontId="2" fillId="0" borderId="1" xfId="1" applyFont="1" applyFill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/>
    </xf>
    <xf numFmtId="172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2" fontId="4" fillId="0" borderId="6" xfId="0" applyNumberFormat="1" applyFont="1" applyBorder="1"/>
    <xf numFmtId="166" fontId="4" fillId="0" borderId="6" xfId="0" applyNumberFormat="1" applyFont="1" applyBorder="1"/>
    <xf numFmtId="2" fontId="4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vertical="top"/>
    </xf>
    <xf numFmtId="166" fontId="4" fillId="0" borderId="6" xfId="0" applyNumberFormat="1" applyFont="1" applyBorder="1" applyAlignment="1">
      <alignment vertical="top"/>
    </xf>
    <xf numFmtId="168" fontId="4" fillId="0" borderId="6" xfId="1" applyNumberFormat="1" applyFont="1" applyFill="1" applyBorder="1" applyAlignment="1">
      <alignment vertical="top"/>
    </xf>
    <xf numFmtId="167" fontId="2" fillId="0" borderId="6" xfId="1" applyFont="1" applyFill="1" applyBorder="1" applyAlignment="1">
      <alignment horizontal="right" vertical="top" wrapText="1"/>
    </xf>
    <xf numFmtId="165" fontId="3" fillId="0" borderId="6" xfId="2" applyFont="1" applyFill="1" applyBorder="1" applyAlignment="1">
      <alignment vertical="top" wrapText="1"/>
    </xf>
    <xf numFmtId="168" fontId="3" fillId="0" borderId="6" xfId="1" applyNumberFormat="1" applyFont="1" applyFill="1" applyBorder="1" applyAlignment="1">
      <alignment vertical="top" wrapText="1"/>
    </xf>
    <xf numFmtId="168" fontId="2" fillId="0" borderId="6" xfId="1" applyNumberFormat="1" applyFont="1" applyFill="1" applyBorder="1" applyAlignment="1">
      <alignment horizontal="right" vertical="top" wrapText="1"/>
    </xf>
    <xf numFmtId="168" fontId="3" fillId="0" borderId="6" xfId="1" applyNumberFormat="1" applyFont="1" applyFill="1" applyBorder="1" applyAlignment="1"/>
    <xf numFmtId="168" fontId="2" fillId="0" borderId="6" xfId="1" applyNumberFormat="1" applyFont="1" applyFill="1" applyBorder="1" applyAlignment="1"/>
    <xf numFmtId="0" fontId="3" fillId="0" borderId="6" xfId="0" applyFont="1" applyBorder="1" applyAlignment="1">
      <alignment horizontal="left" vertical="top"/>
    </xf>
    <xf numFmtId="4" fontId="3" fillId="0" borderId="6" xfId="0" applyNumberFormat="1" applyFont="1" applyBorder="1" applyAlignment="1">
      <alignment vertical="top"/>
    </xf>
    <xf numFmtId="0" fontId="20" fillId="0" borderId="2" xfId="0" applyFont="1" applyBorder="1"/>
    <xf numFmtId="0" fontId="20" fillId="0" borderId="0" xfId="0" applyFont="1"/>
    <xf numFmtId="167" fontId="3" fillId="0" borderId="6" xfId="1" applyFont="1" applyBorder="1"/>
    <xf numFmtId="170" fontId="3" fillId="0" borderId="6" xfId="0" applyNumberFormat="1" applyFont="1" applyBorder="1"/>
    <xf numFmtId="0" fontId="3" fillId="0" borderId="6" xfId="0" applyFont="1" applyBorder="1" applyAlignment="1">
      <alignment horizontal="right" vertical="center" wrapText="1"/>
    </xf>
    <xf numFmtId="167" fontId="3" fillId="0" borderId="6" xfId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166" fontId="3" fillId="0" borderId="6" xfId="0" applyNumberFormat="1" applyFont="1" applyBorder="1" applyAlignment="1">
      <alignment vertical="center"/>
    </xf>
    <xf numFmtId="166" fontId="3" fillId="0" borderId="6" xfId="1" applyNumberFormat="1" applyFont="1" applyBorder="1" applyAlignment="1">
      <alignment vertical="center"/>
    </xf>
    <xf numFmtId="0" fontId="20" fillId="0" borderId="6" xfId="0" applyFont="1" applyBorder="1"/>
    <xf numFmtId="167" fontId="3" fillId="0" borderId="6" xfId="1" applyFont="1" applyFill="1" applyBorder="1" applyAlignment="1">
      <alignment horizontal="right" vertical="top" wrapText="1"/>
    </xf>
    <xf numFmtId="170" fontId="3" fillId="0" borderId="6" xfId="0" applyNumberFormat="1" applyFont="1" applyBorder="1" applyAlignment="1">
      <alignment vertical="top"/>
    </xf>
    <xf numFmtId="168" fontId="3" fillId="0" borderId="6" xfId="1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center" wrapText="1"/>
    </xf>
    <xf numFmtId="167" fontId="3" fillId="0" borderId="6" xfId="1" applyFont="1" applyBorder="1" applyAlignment="1">
      <alignment vertical="center"/>
    </xf>
    <xf numFmtId="168" fontId="3" fillId="0" borderId="6" xfId="1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172" fontId="1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70" fontId="19" fillId="0" borderId="6" xfId="0" applyNumberFormat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165" fontId="12" fillId="0" borderId="6" xfId="2" applyFont="1" applyFill="1" applyBorder="1" applyAlignment="1">
      <alignment horizontal="center" vertical="center"/>
    </xf>
    <xf numFmtId="172" fontId="21" fillId="0" borderId="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9" fillId="0" borderId="6" xfId="0" applyFont="1" applyBorder="1" applyAlignment="1">
      <alignment horizontal="center"/>
    </xf>
    <xf numFmtId="170" fontId="3" fillId="0" borderId="6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7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top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7" fontId="29" fillId="0" borderId="0" xfId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167" fontId="29" fillId="0" borderId="6" xfId="1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9" fillId="7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vertical="top"/>
    </xf>
    <xf numFmtId="0" fontId="27" fillId="0" borderId="6" xfId="0" applyFont="1" applyBorder="1" applyAlignment="1">
      <alignment vertic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/>
    </xf>
    <xf numFmtId="0" fontId="27" fillId="0" borderId="6" xfId="0" applyFont="1" applyBorder="1" applyAlignment="1">
      <alignment wrapText="1"/>
    </xf>
    <xf numFmtId="0" fontId="29" fillId="7" borderId="6" xfId="0" applyFont="1" applyFill="1" applyBorder="1" applyAlignment="1">
      <alignment horizontal="center" vertical="center" wrapText="1"/>
    </xf>
    <xf numFmtId="167" fontId="27" fillId="0" borderId="6" xfId="1" applyFont="1" applyBorder="1" applyAlignment="1">
      <alignment horizontal="center" vertical="center"/>
    </xf>
    <xf numFmtId="0" fontId="29" fillId="0" borderId="6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0" fillId="0" borderId="0" xfId="0" applyAlignment="1">
      <alignment horizontal="right"/>
    </xf>
    <xf numFmtId="0" fontId="29" fillId="0" borderId="0" xfId="0" applyFont="1" applyAlignment="1">
      <alignment vertical="center" wrapText="1"/>
    </xf>
    <xf numFmtId="167" fontId="29" fillId="0" borderId="0" xfId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7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7" fontId="2" fillId="0" borderId="0" xfId="1" applyFont="1" applyFill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1" applyFont="1" applyFill="1" applyBorder="1" applyAlignment="1">
      <alignment vertical="center" wrapText="1"/>
    </xf>
    <xf numFmtId="0" fontId="27" fillId="0" borderId="0" xfId="0" applyFont="1"/>
    <xf numFmtId="167" fontId="27" fillId="0" borderId="0" xfId="1" applyFont="1" applyAlignment="1">
      <alignment horizontal="center"/>
    </xf>
    <xf numFmtId="0" fontId="27" fillId="0" borderId="0" xfId="0" applyFont="1" applyAlignment="1">
      <alignment horizontal="right"/>
    </xf>
    <xf numFmtId="0" fontId="28" fillId="9" borderId="6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vertical="center"/>
    </xf>
    <xf numFmtId="167" fontId="28" fillId="9" borderId="6" xfId="1" applyFont="1" applyFill="1" applyBorder="1" applyAlignment="1">
      <alignment horizontal="center" vertical="center"/>
    </xf>
    <xf numFmtId="167" fontId="28" fillId="9" borderId="6" xfId="1" applyFont="1" applyFill="1" applyBorder="1" applyAlignment="1">
      <alignment horizontal="right" vertical="center"/>
    </xf>
    <xf numFmtId="0" fontId="28" fillId="10" borderId="6" xfId="0" applyFont="1" applyFill="1" applyBorder="1" applyAlignment="1">
      <alignment horizontal="center" vertical="center"/>
    </xf>
    <xf numFmtId="0" fontId="28" fillId="10" borderId="6" xfId="0" applyFont="1" applyFill="1" applyBorder="1" applyAlignment="1">
      <alignment vertical="center"/>
    </xf>
    <xf numFmtId="167" fontId="28" fillId="10" borderId="6" xfId="1" applyFont="1" applyFill="1" applyBorder="1" applyAlignment="1">
      <alignment horizontal="center" vertical="center"/>
    </xf>
    <xf numFmtId="0" fontId="29" fillId="10" borderId="6" xfId="0" applyFont="1" applyFill="1" applyBorder="1" applyAlignment="1">
      <alignment horizontal="right" vertical="center"/>
    </xf>
    <xf numFmtId="164" fontId="29" fillId="0" borderId="6" xfId="0" applyNumberFormat="1" applyFont="1" applyBorder="1" applyAlignment="1">
      <alignment horizontal="right" vertical="center"/>
    </xf>
    <xf numFmtId="166" fontId="29" fillId="0" borderId="6" xfId="0" applyNumberFormat="1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vertical="center" wrapText="1"/>
    </xf>
    <xf numFmtId="167" fontId="34" fillId="0" borderId="6" xfId="1" applyFont="1" applyBorder="1" applyAlignment="1">
      <alignment horizontal="center" vertical="center"/>
    </xf>
    <xf numFmtId="166" fontId="34" fillId="0" borderId="6" xfId="0" applyNumberFormat="1" applyFont="1" applyBorder="1" applyAlignment="1">
      <alignment horizontal="right" vertical="center"/>
    </xf>
    <xf numFmtId="0" fontId="34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/>
    </xf>
    <xf numFmtId="167" fontId="29" fillId="0" borderId="6" xfId="1" applyFont="1" applyBorder="1" applyAlignment="1">
      <alignment horizontal="center"/>
    </xf>
    <xf numFmtId="166" fontId="29" fillId="0" borderId="6" xfId="0" applyNumberFormat="1" applyFont="1" applyBorder="1" applyAlignment="1">
      <alignment horizontal="right"/>
    </xf>
    <xf numFmtId="0" fontId="28" fillId="4" borderId="6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vertical="center" wrapText="1"/>
    </xf>
    <xf numFmtId="0" fontId="28" fillId="4" borderId="6" xfId="0" applyFont="1" applyFill="1" applyBorder="1" applyAlignment="1">
      <alignment horizontal="center" vertical="center"/>
    </xf>
    <xf numFmtId="167" fontId="28" fillId="4" borderId="6" xfId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right" vertical="center" wrapText="1"/>
    </xf>
    <xf numFmtId="0" fontId="31" fillId="9" borderId="6" xfId="0" applyFont="1" applyFill="1" applyBorder="1" applyAlignment="1">
      <alignment horizontal="center" vertical="center"/>
    </xf>
    <xf numFmtId="0" fontId="29" fillId="9" borderId="6" xfId="0" applyFont="1" applyFill="1" applyBorder="1" applyAlignment="1">
      <alignment horizontal="right" vertical="center" wrapText="1"/>
    </xf>
    <xf numFmtId="166" fontId="33" fillId="0" borderId="6" xfId="0" applyNumberFormat="1" applyFont="1" applyBorder="1" applyAlignment="1">
      <alignment horizontal="right" vertical="center"/>
    </xf>
    <xf numFmtId="166" fontId="29" fillId="3" borderId="6" xfId="0" applyNumberFormat="1" applyFont="1" applyFill="1" applyBorder="1" applyAlignment="1">
      <alignment horizontal="right" vertical="center"/>
    </xf>
    <xf numFmtId="167" fontId="29" fillId="0" borderId="6" xfId="1" applyFont="1" applyBorder="1" applyAlignment="1">
      <alignment vertical="center" wrapText="1"/>
    </xf>
    <xf numFmtId="0" fontId="28" fillId="11" borderId="7" xfId="0" applyFont="1" applyFill="1" applyBorder="1" applyAlignment="1">
      <alignment horizontal="right" vertical="center" wrapText="1"/>
    </xf>
    <xf numFmtId="0" fontId="28" fillId="11" borderId="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7" fontId="29" fillId="0" borderId="0" xfId="1" applyFont="1" applyBorder="1" applyAlignment="1">
      <alignment horizontal="right" vertical="center"/>
    </xf>
    <xf numFmtId="167" fontId="28" fillId="10" borderId="6" xfId="1" applyFont="1" applyFill="1" applyBorder="1" applyAlignment="1">
      <alignment horizontal="right" vertical="center"/>
    </xf>
    <xf numFmtId="167" fontId="29" fillId="0" borderId="6" xfId="1" applyFont="1" applyBorder="1" applyAlignment="1">
      <alignment horizontal="right" vertical="center"/>
    </xf>
    <xf numFmtId="164" fontId="29" fillId="7" borderId="6" xfId="0" applyNumberFormat="1" applyFont="1" applyFill="1" applyBorder="1" applyAlignment="1">
      <alignment horizontal="right" vertical="center"/>
    </xf>
    <xf numFmtId="164" fontId="29" fillId="0" borderId="6" xfId="0" applyNumberFormat="1" applyFont="1" applyBorder="1" applyAlignment="1">
      <alignment horizontal="right" vertical="center" wrapText="1"/>
    </xf>
    <xf numFmtId="167" fontId="29" fillId="0" borderId="6" xfId="1" applyFont="1" applyBorder="1" applyAlignment="1">
      <alignment horizontal="right" vertical="center" wrapText="1"/>
    </xf>
    <xf numFmtId="167" fontId="28" fillId="0" borderId="6" xfId="1" applyFont="1" applyBorder="1" applyAlignment="1">
      <alignment horizontal="right" vertical="center" wrapText="1"/>
    </xf>
    <xf numFmtId="167" fontId="27" fillId="0" borderId="6" xfId="1" applyFont="1" applyBorder="1" applyAlignment="1">
      <alignment horizontal="right" vertical="top"/>
    </xf>
    <xf numFmtId="0" fontId="27" fillId="0" borderId="6" xfId="0" applyFont="1" applyBorder="1" applyAlignment="1">
      <alignment horizontal="right"/>
    </xf>
    <xf numFmtId="0" fontId="29" fillId="7" borderId="6" xfId="0" applyFont="1" applyFill="1" applyBorder="1" applyAlignment="1">
      <alignment horizontal="right" vertical="center"/>
    </xf>
    <xf numFmtId="0" fontId="27" fillId="0" borderId="6" xfId="0" applyFont="1" applyBorder="1" applyAlignment="1">
      <alignment horizontal="right" vertical="top"/>
    </xf>
    <xf numFmtId="167" fontId="27" fillId="0" borderId="6" xfId="1" applyFont="1" applyBorder="1" applyAlignment="1">
      <alignment horizontal="right"/>
    </xf>
    <xf numFmtId="167" fontId="27" fillId="0" borderId="6" xfId="1" applyFont="1" applyBorder="1" applyAlignment="1">
      <alignment horizontal="right" vertical="center"/>
    </xf>
    <xf numFmtId="164" fontId="27" fillId="0" borderId="6" xfId="0" applyNumberFormat="1" applyFont="1" applyBorder="1" applyAlignment="1">
      <alignment horizontal="right" vertical="top"/>
    </xf>
    <xf numFmtId="167" fontId="27" fillId="0" borderId="0" xfId="1" applyFont="1" applyBorder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27" fillId="0" borderId="3" xfId="0" applyFont="1" applyBorder="1" applyAlignment="1">
      <alignment horizontal="right" vertical="top"/>
    </xf>
    <xf numFmtId="0" fontId="28" fillId="11" borderId="8" xfId="0" applyFont="1" applyFill="1" applyBorder="1" applyAlignment="1">
      <alignment horizontal="right" vertical="center" wrapText="1"/>
    </xf>
    <xf numFmtId="0" fontId="28" fillId="11" borderId="8" xfId="0" applyFont="1" applyFill="1" applyBorder="1" applyAlignment="1">
      <alignment horizontal="right" vertical="center"/>
    </xf>
    <xf numFmtId="164" fontId="28" fillId="11" borderId="4" xfId="0" applyNumberFormat="1" applyFont="1" applyFill="1" applyBorder="1" applyAlignment="1">
      <alignment horizontal="right" vertical="center"/>
    </xf>
    <xf numFmtId="167" fontId="0" fillId="0" borderId="0" xfId="1" applyFont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9" xfId="0" applyBorder="1" applyAlignment="1">
      <alignment horizontal="right" vertical="top"/>
    </xf>
    <xf numFmtId="167" fontId="0" fillId="0" borderId="0" xfId="1" applyFont="1" applyAlignment="1">
      <alignment horizontal="right"/>
    </xf>
    <xf numFmtId="0" fontId="28" fillId="4" borderId="6" xfId="0" applyFont="1" applyFill="1" applyBorder="1" applyAlignment="1">
      <alignment vertical="center"/>
    </xf>
    <xf numFmtId="0" fontId="28" fillId="4" borderId="6" xfId="0" applyFont="1" applyFill="1" applyBorder="1" applyAlignment="1">
      <alignment horizontal="right" vertical="center"/>
    </xf>
    <xf numFmtId="0" fontId="27" fillId="4" borderId="6" xfId="0" applyFont="1" applyFill="1" applyBorder="1" applyAlignment="1">
      <alignment horizontal="right" vertical="top"/>
    </xf>
    <xf numFmtId="0" fontId="28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horizontal="right" vertical="top"/>
    </xf>
    <xf numFmtId="167" fontId="27" fillId="0" borderId="0" xfId="1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29" fillId="0" borderId="10" xfId="0" applyNumberFormat="1" applyFont="1" applyBorder="1" applyAlignment="1">
      <alignment horizontal="right" vertical="center"/>
    </xf>
    <xf numFmtId="167" fontId="28" fillId="0" borderId="0" xfId="1" applyFont="1" applyBorder="1" applyAlignment="1">
      <alignment horizontal="center" vertical="center"/>
    </xf>
    <xf numFmtId="164" fontId="27" fillId="0" borderId="6" xfId="0" applyNumberFormat="1" applyFont="1" applyBorder="1" applyAlignment="1">
      <alignment horizontal="right" vertical="center"/>
    </xf>
    <xf numFmtId="0" fontId="27" fillId="12" borderId="6" xfId="0" applyFont="1" applyFill="1" applyBorder="1"/>
    <xf numFmtId="0" fontId="28" fillId="12" borderId="6" xfId="0" applyFont="1" applyFill="1" applyBorder="1" applyAlignment="1">
      <alignment horizontal="right" vertical="center" wrapText="1"/>
    </xf>
    <xf numFmtId="0" fontId="29" fillId="12" borderId="6" xfId="0" applyFont="1" applyFill="1" applyBorder="1" applyAlignment="1">
      <alignment horizontal="center" vertical="center"/>
    </xf>
    <xf numFmtId="167" fontId="28" fillId="12" borderId="6" xfId="1" applyFont="1" applyFill="1" applyBorder="1" applyAlignment="1">
      <alignment horizontal="right" vertical="center"/>
    </xf>
    <xf numFmtId="0" fontId="29" fillId="12" borderId="6" xfId="0" applyFont="1" applyFill="1" applyBorder="1" applyAlignment="1">
      <alignment horizontal="right" vertical="center"/>
    </xf>
    <xf numFmtId="164" fontId="28" fillId="12" borderId="6" xfId="0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horizontal="right"/>
    </xf>
    <xf numFmtId="0" fontId="28" fillId="13" borderId="6" xfId="0" applyFont="1" applyFill="1" applyBorder="1" applyAlignment="1">
      <alignment vertical="center" wrapText="1"/>
    </xf>
    <xf numFmtId="0" fontId="28" fillId="13" borderId="6" xfId="0" applyFont="1" applyFill="1" applyBorder="1" applyAlignment="1">
      <alignment horizontal="right" vertical="center"/>
    </xf>
    <xf numFmtId="164" fontId="28" fillId="13" borderId="6" xfId="0" applyNumberFormat="1" applyFont="1" applyFill="1" applyBorder="1" applyAlignment="1">
      <alignment horizontal="right" vertical="center"/>
    </xf>
    <xf numFmtId="0" fontId="28" fillId="13" borderId="6" xfId="0" applyFont="1" applyFill="1" applyBorder="1" applyAlignment="1">
      <alignment horizontal="center" vertical="center"/>
    </xf>
    <xf numFmtId="167" fontId="28" fillId="13" borderId="6" xfId="1" applyFont="1" applyFill="1" applyBorder="1" applyAlignment="1">
      <alignment horizontal="center" vertical="center"/>
    </xf>
    <xf numFmtId="167" fontId="27" fillId="0" borderId="0" xfId="1" applyFont="1" applyAlignment="1">
      <alignment horizontal="center" vertical="center" wrapText="1"/>
    </xf>
    <xf numFmtId="167" fontId="28" fillId="0" borderId="6" xfId="1" applyFont="1" applyBorder="1" applyAlignment="1">
      <alignment horizontal="center" vertical="center" wrapText="1"/>
    </xf>
    <xf numFmtId="167" fontId="29" fillId="0" borderId="6" xfId="1" applyFont="1" applyBorder="1" applyAlignment="1">
      <alignment horizontal="center" vertical="center" wrapText="1"/>
    </xf>
    <xf numFmtId="167" fontId="27" fillId="0" borderId="6" xfId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vertical="center" wrapText="1"/>
    </xf>
    <xf numFmtId="167" fontId="27" fillId="0" borderId="0" xfId="1" applyFont="1"/>
    <xf numFmtId="167" fontId="28" fillId="0" borderId="0" xfId="1" applyFont="1" applyAlignment="1">
      <alignment vertical="center"/>
    </xf>
    <xf numFmtId="167" fontId="27" fillId="0" borderId="0" xfId="1" applyFont="1" applyAlignment="1">
      <alignment vertical="top"/>
    </xf>
    <xf numFmtId="167" fontId="27" fillId="0" borderId="0" xfId="1" applyFont="1" applyAlignment="1">
      <alignment vertical="top" wrapText="1"/>
    </xf>
    <xf numFmtId="167" fontId="27" fillId="0" borderId="0" xfId="1" applyFont="1" applyAlignment="1">
      <alignment vertical="center"/>
    </xf>
    <xf numFmtId="0" fontId="29" fillId="7" borderId="6" xfId="0" applyFont="1" applyFill="1" applyBorder="1" applyAlignment="1">
      <alignment vertical="center" wrapText="1"/>
    </xf>
    <xf numFmtId="0" fontId="29" fillId="3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vertical="center" wrapText="1"/>
    </xf>
    <xf numFmtId="0" fontId="29" fillId="3" borderId="6" xfId="0" applyFont="1" applyFill="1" applyBorder="1" applyAlignment="1">
      <alignment horizontal="center" vertical="center" wrapText="1"/>
    </xf>
    <xf numFmtId="167" fontId="29" fillId="3" borderId="6" xfId="1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167" fontId="27" fillId="0" borderId="0" xfId="1" applyFont="1" applyAlignment="1"/>
    <xf numFmtId="167" fontId="29" fillId="0" borderId="6" xfId="1" applyFont="1" applyBorder="1" applyAlignment="1">
      <alignment vertical="center"/>
    </xf>
    <xf numFmtId="167" fontId="27" fillId="0" borderId="6" xfId="1" applyFont="1" applyBorder="1" applyAlignment="1">
      <alignment vertical="center" wrapText="1"/>
    </xf>
    <xf numFmtId="167" fontId="28" fillId="0" borderId="6" xfId="1" applyFont="1" applyBorder="1" applyAlignment="1">
      <alignment vertical="center" wrapText="1"/>
    </xf>
    <xf numFmtId="167" fontId="27" fillId="0" borderId="6" xfId="1" applyFont="1" applyBorder="1" applyAlignment="1">
      <alignment vertical="center"/>
    </xf>
    <xf numFmtId="167" fontId="27" fillId="0" borderId="0" xfId="1" applyFont="1" applyBorder="1" applyAlignment="1">
      <alignment vertical="top"/>
    </xf>
    <xf numFmtId="167" fontId="27" fillId="0" borderId="0" xfId="1" applyFont="1" applyAlignment="1">
      <alignment vertical="center" wrapText="1"/>
    </xf>
    <xf numFmtId="0" fontId="29" fillId="8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7" fontId="27" fillId="0" borderId="0" xfId="1" applyFont="1" applyAlignment="1">
      <alignment wrapText="1"/>
    </xf>
    <xf numFmtId="167" fontId="29" fillId="0" borderId="6" xfId="1" applyFont="1" applyBorder="1" applyAlignment="1"/>
    <xf numFmtId="167" fontId="29" fillId="0" borderId="6" xfId="1" applyFont="1" applyBorder="1" applyAlignment="1">
      <alignment wrapText="1"/>
    </xf>
    <xf numFmtId="167" fontId="27" fillId="0" borderId="6" xfId="1" applyFont="1" applyBorder="1" applyAlignment="1">
      <alignment wrapText="1"/>
    </xf>
    <xf numFmtId="167" fontId="27" fillId="0" borderId="6" xfId="1" applyFont="1" applyBorder="1" applyAlignment="1"/>
    <xf numFmtId="0" fontId="31" fillId="12" borderId="6" xfId="0" applyFont="1" applyFill="1" applyBorder="1" applyAlignment="1">
      <alignment horizontal="left"/>
    </xf>
    <xf numFmtId="0" fontId="28" fillId="12" borderId="6" xfId="0" applyFont="1" applyFill="1" applyBorder="1" applyAlignment="1">
      <alignment horizontal="right" vertical="center"/>
    </xf>
    <xf numFmtId="0" fontId="28" fillId="12" borderId="6" xfId="0" applyFont="1" applyFill="1" applyBorder="1" applyAlignment="1">
      <alignment vertical="center"/>
    </xf>
    <xf numFmtId="167" fontId="28" fillId="12" borderId="6" xfId="1" applyFont="1" applyFill="1" applyBorder="1" applyAlignment="1">
      <alignment horizontal="center" vertical="center"/>
    </xf>
    <xf numFmtId="0" fontId="28" fillId="12" borderId="6" xfId="0" applyFont="1" applyFill="1" applyBorder="1" applyAlignment="1">
      <alignment horizontal="center" vertical="center"/>
    </xf>
    <xf numFmtId="167" fontId="28" fillId="12" borderId="6" xfId="1" applyFont="1" applyFill="1" applyBorder="1" applyAlignment="1"/>
    <xf numFmtId="0" fontId="27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7" fillId="4" borderId="0" xfId="0" applyFont="1" applyFill="1" applyAlignment="1">
      <alignment vertical="top"/>
    </xf>
    <xf numFmtId="167" fontId="28" fillId="9" borderId="6" xfId="1" applyFont="1" applyFill="1" applyBorder="1" applyAlignment="1">
      <alignment vertical="center"/>
    </xf>
    <xf numFmtId="0" fontId="29" fillId="10" borderId="6" xfId="0" applyFont="1" applyFill="1" applyBorder="1" applyAlignment="1">
      <alignment vertical="center"/>
    </xf>
    <xf numFmtId="164" fontId="29" fillId="0" borderId="6" xfId="0" applyNumberFormat="1" applyFont="1" applyBorder="1" applyAlignment="1">
      <alignment vertical="center"/>
    </xf>
    <xf numFmtId="0" fontId="29" fillId="12" borderId="6" xfId="0" applyFont="1" applyFill="1" applyBorder="1" applyAlignment="1">
      <alignment vertical="center"/>
    </xf>
    <xf numFmtId="164" fontId="28" fillId="12" borderId="6" xfId="0" applyNumberFormat="1" applyFont="1" applyFill="1" applyBorder="1" applyAlignment="1">
      <alignment vertical="center"/>
    </xf>
    <xf numFmtId="164" fontId="29" fillId="0" borderId="6" xfId="0" applyNumberFormat="1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164" fontId="29" fillId="3" borderId="6" xfId="0" applyNumberFormat="1" applyFont="1" applyFill="1" applyBorder="1" applyAlignment="1">
      <alignment horizontal="right" vertical="center"/>
    </xf>
    <xf numFmtId="167" fontId="28" fillId="9" borderId="6" xfId="1" applyFont="1" applyFill="1" applyBorder="1" applyAlignment="1">
      <alignment horizontal="center" vertical="center" wrapText="1"/>
    </xf>
    <xf numFmtId="167" fontId="28" fillId="10" borderId="6" xfId="1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28" fillId="9" borderId="6" xfId="0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right" vertical="center" wrapText="1"/>
    </xf>
    <xf numFmtId="0" fontId="29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8" fillId="13" borderId="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left" vertical="center" wrapText="1"/>
    </xf>
  </cellXfs>
  <cellStyles count="3">
    <cellStyle name="Comma" xfId="1" builtinId="3"/>
    <cellStyle name="Comma [0]" xfId="2" builtinId="6"/>
    <cellStyle name="Normal" xfId="0" builtinId="0"/>
  </cellStyles>
  <dxfs count="1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6" formatCode="_-* #,##0.00\ &quot;€&quot;_-;\-* #,##0.00\ &quot;€&quot;_-;_-* &quot;-&quot;??\ &quot;€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166" formatCode="_-* #,##0.00\ &quot;€&quot;_-;\-* #,##0.00\ &quot;€&quot;_-;_-* &quot;-&quot;??\ &quot;€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ssier%20Commune%20MUTIMBUZI\Cl&#233;ment%20grabave%20Lyc&#233;e%20Mun.KIBENGA%20_DAO%20Relanc&#233;%20analy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ereau des prix unitaires"/>
      <sheetName val="DEVIS QUANTITATIF ESTIMATIF"/>
      <sheetName val="macro"/>
    </sheetNames>
    <sheetDataSet>
      <sheetData sheetId="0" refreshError="1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32" displayName="Tableau32" ref="A1:M1202" totalsRowShown="0" headerRowDxfId="16" headerRowBorderDxfId="14" tableBorderDxfId="15" totalsRowBorderDxfId="13">
  <autoFilter ref="A1:M1202" xr:uid="{00000000-0009-0000-0100-000001000000}"/>
  <sortState xmlns:xlrd2="http://schemas.microsoft.com/office/spreadsheetml/2017/richdata2" ref="A2:M1202">
    <sortCondition ref="B1:B1202"/>
  </sortState>
  <tableColumns count="13">
    <tableColumn id="1" xr3:uid="{00000000-0010-0000-0000-000001000000}" name="N°" dataDxfId="12"/>
    <tableColumn id="13" xr3:uid="{00000000-0010-0000-0000-00000D000000}" name="N°_n" dataDxfId="11"/>
    <tableColumn id="2" xr3:uid="{00000000-0010-0000-0000-000002000000}" name="Désignation des travaux" dataDxfId="10"/>
    <tableColumn id="3" xr3:uid="{00000000-0010-0000-0000-000003000000}" name="Unité" dataDxfId="9"/>
    <tableColumn id="4" xr3:uid="{00000000-0010-0000-0000-000004000000}" name="Quantité" dataDxfId="8"/>
    <tableColumn id="5" xr3:uid="{00000000-0010-0000-0000-000005000000}" name="Prix unitaire" dataDxfId="7"/>
    <tableColumn id="6" xr3:uid="{00000000-0010-0000-0000-000006000000}" name="Prix total" dataDxfId="6">
      <calculatedColumnFormula>F2*E2</calculatedColumnFormula>
    </tableColumn>
    <tableColumn id="7" xr3:uid="{00000000-0010-0000-0000-000007000000}" name="Colonne1" dataDxfId="5">
      <calculatedColumnFormula>+F2*E2</calculatedColumnFormula>
    </tableColumn>
    <tableColumn id="8" xr3:uid="{00000000-0010-0000-0000-000008000000}" name="Colonne2" dataDxfId="4"/>
    <tableColumn id="9" xr3:uid="{00000000-0010-0000-0000-000009000000}" name="PU en Euros" dataDxfId="3"/>
    <tableColumn id="10" xr3:uid="{00000000-0010-0000-0000-00000A000000}" name="Prix total en Euros" dataDxfId="2">
      <calculatedColumnFormula>J2*I2</calculatedColumnFormula>
    </tableColumn>
    <tableColumn id="11" xr3:uid="{00000000-0010-0000-0000-00000B000000}" name="P Total en Euros" dataDxfId="1">
      <calculatedColumnFormula>+J2*E2</calculatedColumnFormula>
    </tableColumn>
    <tableColumn id="12" xr3:uid="{00000000-0010-0000-0000-00000C000000}" name="Lycé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2"/>
  <sheetViews>
    <sheetView topLeftCell="A975" zoomScale="115" zoomScaleNormal="115" workbookViewId="0">
      <selection activeCell="A985" sqref="A985:XFD985"/>
    </sheetView>
  </sheetViews>
  <sheetFormatPr defaultColWidth="11.42578125" defaultRowHeight="14.45"/>
  <cols>
    <col min="1" max="1" width="11.42578125" style="210" customWidth="1"/>
    <col min="2" max="2" width="17.28515625" style="210" customWidth="1"/>
    <col min="3" max="3" width="64.7109375" customWidth="1"/>
    <col min="4" max="4" width="11.5703125" style="210"/>
    <col min="5" max="5" width="13.7109375" style="210" customWidth="1"/>
    <col min="6" max="6" width="15.28515625" hidden="1" customWidth="1"/>
    <col min="7" max="7" width="19.5703125" hidden="1" customWidth="1"/>
    <col min="8" max="8" width="22.140625" hidden="1" customWidth="1"/>
    <col min="9" max="9" width="20.28515625" hidden="1" customWidth="1"/>
    <col min="10" max="10" width="21.42578125" style="210" customWidth="1"/>
    <col min="11" max="11" width="18.85546875" hidden="1" customWidth="1"/>
    <col min="12" max="12" width="16.85546875" hidden="1" customWidth="1"/>
    <col min="13" max="13" width="20.5703125" customWidth="1"/>
  </cols>
  <sheetData>
    <row r="1" spans="1:13" ht="19.899999999999999" customHeight="1">
      <c r="A1" s="271" t="s">
        <v>0</v>
      </c>
      <c r="B1" s="272" t="s">
        <v>1</v>
      </c>
      <c r="C1" s="273" t="s">
        <v>2</v>
      </c>
      <c r="D1" s="272" t="s">
        <v>3</v>
      </c>
      <c r="E1" s="274" t="s">
        <v>4</v>
      </c>
      <c r="F1" s="273" t="s">
        <v>5</v>
      </c>
      <c r="G1" s="275" t="s">
        <v>6</v>
      </c>
      <c r="H1" s="276" t="s">
        <v>7</v>
      </c>
      <c r="I1" s="276" t="s">
        <v>8</v>
      </c>
      <c r="J1" s="274" t="s">
        <v>9</v>
      </c>
      <c r="K1" s="277" t="s">
        <v>10</v>
      </c>
      <c r="L1" s="278" t="s">
        <v>11</v>
      </c>
      <c r="M1" s="279" t="s">
        <v>12</v>
      </c>
    </row>
    <row r="2" spans="1:13" ht="19.899999999999999" customHeight="1">
      <c r="A2" s="151">
        <v>3</v>
      </c>
      <c r="B2" s="5" t="s">
        <v>13</v>
      </c>
      <c r="C2" s="6" t="s">
        <v>14</v>
      </c>
      <c r="D2" s="6"/>
      <c r="E2" s="45"/>
      <c r="F2" s="6"/>
      <c r="G2" s="2"/>
      <c r="H2" s="238"/>
      <c r="I2" s="51">
        <f>+F2*0.2</f>
        <v>0</v>
      </c>
      <c r="J2" s="128"/>
      <c r="K2" s="53"/>
      <c r="L2" s="52"/>
      <c r="M2" s="245" t="s">
        <v>15</v>
      </c>
    </row>
    <row r="3" spans="1:13" ht="19.899999999999999" customHeight="1">
      <c r="A3" s="151">
        <v>3</v>
      </c>
      <c r="B3" s="5" t="s">
        <v>13</v>
      </c>
      <c r="C3" s="6" t="s">
        <v>16</v>
      </c>
      <c r="D3" s="23"/>
      <c r="E3" s="65"/>
      <c r="F3" s="23"/>
      <c r="G3" s="9"/>
      <c r="H3" s="51"/>
      <c r="I3" s="51">
        <f>+F3*0.2</f>
        <v>0</v>
      </c>
      <c r="J3" s="128"/>
      <c r="K3" s="53"/>
      <c r="L3" s="52"/>
      <c r="M3" s="245" t="s">
        <v>17</v>
      </c>
    </row>
    <row r="4" spans="1:13">
      <c r="A4" s="151">
        <v>3</v>
      </c>
      <c r="B4" s="5" t="s">
        <v>13</v>
      </c>
      <c r="C4" s="34" t="s">
        <v>18</v>
      </c>
      <c r="D4" s="32"/>
      <c r="E4" s="229"/>
      <c r="F4" s="32"/>
      <c r="G4" s="32">
        <f>F4*E4</f>
        <v>0</v>
      </c>
      <c r="H4" s="238"/>
      <c r="I4" s="25"/>
      <c r="J4" s="86"/>
      <c r="K4" s="32">
        <f>J4*I4</f>
        <v>0</v>
      </c>
      <c r="L4" s="52"/>
      <c r="M4" s="245" t="s">
        <v>15</v>
      </c>
    </row>
    <row r="5" spans="1:13">
      <c r="A5" s="280">
        <v>3.2</v>
      </c>
      <c r="B5" s="13" t="s">
        <v>13</v>
      </c>
      <c r="C5" s="146" t="s">
        <v>19</v>
      </c>
      <c r="D5" s="146"/>
      <c r="E5" s="213"/>
      <c r="F5" s="147"/>
      <c r="G5" s="236"/>
      <c r="H5" s="239"/>
      <c r="I5" s="206">
        <f>+F5*0.2</f>
        <v>0</v>
      </c>
      <c r="J5" s="84"/>
      <c r="K5" s="241"/>
      <c r="L5" s="219"/>
      <c r="M5" s="245" t="s">
        <v>20</v>
      </c>
    </row>
    <row r="6" spans="1:13">
      <c r="A6" s="94" t="s">
        <v>21</v>
      </c>
      <c r="B6" s="95" t="s">
        <v>13</v>
      </c>
      <c r="C6" s="6" t="s">
        <v>22</v>
      </c>
      <c r="D6" s="104"/>
      <c r="E6" s="226"/>
      <c r="F6" s="235">
        <v>50000</v>
      </c>
      <c r="G6" s="2">
        <f>F6*E6</f>
        <v>0</v>
      </c>
      <c r="H6" s="51">
        <f>+F6*0.15</f>
        <v>7500</v>
      </c>
      <c r="I6" s="51">
        <f>+F6*0.2</f>
        <v>10000</v>
      </c>
      <c r="J6" s="84"/>
      <c r="K6" s="52"/>
      <c r="L6" s="219"/>
      <c r="M6" s="245" t="s">
        <v>23</v>
      </c>
    </row>
    <row r="7" spans="1:13">
      <c r="A7" s="151" t="s">
        <v>24</v>
      </c>
      <c r="B7" s="13" t="s">
        <v>13</v>
      </c>
      <c r="C7" s="6" t="s">
        <v>25</v>
      </c>
      <c r="D7" s="23"/>
      <c r="E7" s="65"/>
      <c r="F7" s="23"/>
      <c r="G7" s="9"/>
      <c r="H7" s="51"/>
      <c r="I7" s="51">
        <f>+F7*0.2</f>
        <v>0</v>
      </c>
      <c r="J7" s="128"/>
      <c r="K7" s="53"/>
      <c r="L7" s="52"/>
      <c r="M7" s="245" t="s">
        <v>17</v>
      </c>
    </row>
    <row r="8" spans="1:13">
      <c r="A8" s="321" t="s">
        <v>26</v>
      </c>
      <c r="B8" s="125" t="s">
        <v>13</v>
      </c>
      <c r="C8" s="30" t="s">
        <v>27</v>
      </c>
      <c r="D8" s="27"/>
      <c r="E8" s="36"/>
      <c r="F8" s="119"/>
      <c r="G8" s="106"/>
      <c r="H8" s="32"/>
      <c r="I8" s="32"/>
      <c r="J8" s="90"/>
      <c r="K8" s="53"/>
      <c r="L8" s="52" t="s">
        <v>28</v>
      </c>
      <c r="M8" s="245" t="s">
        <v>17</v>
      </c>
    </row>
    <row r="9" spans="1:13">
      <c r="A9" s="218"/>
      <c r="B9" s="27" t="s">
        <v>13</v>
      </c>
      <c r="C9" s="6" t="s">
        <v>29</v>
      </c>
      <c r="D9" s="7"/>
      <c r="E9" s="66"/>
      <c r="F9" s="7"/>
      <c r="G9" s="25"/>
      <c r="H9" s="7"/>
      <c r="I9" s="25"/>
      <c r="J9" s="68"/>
      <c r="K9" s="25"/>
      <c r="L9" s="68"/>
      <c r="M9" s="245" t="s">
        <v>30</v>
      </c>
    </row>
    <row r="10" spans="1:13">
      <c r="A10" s="287" t="s">
        <v>31</v>
      </c>
      <c r="B10" s="78" t="s">
        <v>31</v>
      </c>
      <c r="C10" s="72" t="s">
        <v>32</v>
      </c>
      <c r="D10" s="5"/>
      <c r="E10" s="36"/>
      <c r="F10" s="107"/>
      <c r="G10" s="103"/>
      <c r="H10" s="32"/>
      <c r="I10" s="32"/>
      <c r="J10" s="128"/>
      <c r="K10" s="53"/>
      <c r="L10" s="52" t="s">
        <v>28</v>
      </c>
      <c r="M10" s="245" t="s">
        <v>17</v>
      </c>
    </row>
    <row r="11" spans="1:13">
      <c r="A11" s="151" t="s">
        <v>33</v>
      </c>
      <c r="B11" s="5" t="s">
        <v>34</v>
      </c>
      <c r="C11" s="6" t="s">
        <v>35</v>
      </c>
      <c r="D11" s="5"/>
      <c r="E11" s="36"/>
      <c r="F11" s="107"/>
      <c r="G11" s="103"/>
      <c r="H11" s="32"/>
      <c r="I11" s="32"/>
      <c r="J11" s="128"/>
      <c r="K11" s="53"/>
      <c r="L11" s="52"/>
      <c r="M11" s="245" t="s">
        <v>17</v>
      </c>
    </row>
    <row r="12" spans="1:13" ht="15.6">
      <c r="A12" s="218" t="s">
        <v>36</v>
      </c>
      <c r="B12" s="27" t="s">
        <v>37</v>
      </c>
      <c r="C12" s="26" t="s">
        <v>38</v>
      </c>
      <c r="D12" s="27" t="s">
        <v>39</v>
      </c>
      <c r="E12" s="36">
        <f>11*0.2*0.8*0.8</f>
        <v>1.4080000000000004</v>
      </c>
      <c r="F12" s="105"/>
      <c r="G12" s="106"/>
      <c r="H12" s="32"/>
      <c r="I12" s="32"/>
      <c r="J12" s="128">
        <v>250</v>
      </c>
      <c r="K12" s="53"/>
      <c r="L12" s="129">
        <f>J12*E12</f>
        <v>352.00000000000011</v>
      </c>
      <c r="M12" s="245" t="s">
        <v>17</v>
      </c>
    </row>
    <row r="13" spans="1:13" ht="15.6">
      <c r="A13" s="218" t="s">
        <v>40</v>
      </c>
      <c r="B13" s="27" t="s">
        <v>41</v>
      </c>
      <c r="C13" s="104" t="s">
        <v>42</v>
      </c>
      <c r="D13" s="27" t="s">
        <v>39</v>
      </c>
      <c r="E13" s="36">
        <f>0.2*0.2*11*0.8</f>
        <v>0.35200000000000009</v>
      </c>
      <c r="F13" s="105"/>
      <c r="G13" s="106"/>
      <c r="H13" s="32"/>
      <c r="I13" s="32"/>
      <c r="J13" s="128">
        <v>250</v>
      </c>
      <c r="K13" s="53">
        <f>+J13*E13</f>
        <v>88.000000000000028</v>
      </c>
      <c r="L13" s="129">
        <f>J13*E13</f>
        <v>88.000000000000028</v>
      </c>
      <c r="M13" s="245" t="s">
        <v>17</v>
      </c>
    </row>
    <row r="14" spans="1:13" ht="15.6">
      <c r="A14" s="218" t="s">
        <v>43</v>
      </c>
      <c r="B14" s="27" t="s">
        <v>44</v>
      </c>
      <c r="C14" s="104" t="s">
        <v>45</v>
      </c>
      <c r="D14" s="27" t="s">
        <v>39</v>
      </c>
      <c r="E14" s="36">
        <f>56.85*0.2*0.2</f>
        <v>2.2740000000000005</v>
      </c>
      <c r="F14" s="105"/>
      <c r="G14" s="106"/>
      <c r="H14" s="32"/>
      <c r="I14" s="32"/>
      <c r="J14" s="128">
        <v>250</v>
      </c>
      <c r="K14" s="53"/>
      <c r="L14" s="129">
        <f>J14*E14</f>
        <v>568.50000000000011</v>
      </c>
      <c r="M14" s="245" t="s">
        <v>17</v>
      </c>
    </row>
    <row r="15" spans="1:13" ht="15.6">
      <c r="A15" s="218" t="s">
        <v>46</v>
      </c>
      <c r="B15" s="27" t="s">
        <v>47</v>
      </c>
      <c r="C15" s="26" t="s">
        <v>48</v>
      </c>
      <c r="D15" s="27" t="s">
        <v>39</v>
      </c>
      <c r="E15" s="36">
        <f>0.2*0.2*11*4</f>
        <v>1.7600000000000002</v>
      </c>
      <c r="F15" s="105"/>
      <c r="G15" s="106"/>
      <c r="H15" s="32"/>
      <c r="I15" s="32"/>
      <c r="J15" s="128">
        <v>250</v>
      </c>
      <c r="K15" s="53"/>
      <c r="L15" s="129">
        <f>J15*E15</f>
        <v>440.00000000000006</v>
      </c>
      <c r="M15" s="245" t="s">
        <v>17</v>
      </c>
    </row>
    <row r="16" spans="1:13" ht="15.6">
      <c r="A16" s="218" t="s">
        <v>49</v>
      </c>
      <c r="B16" s="27" t="s">
        <v>50</v>
      </c>
      <c r="C16" s="111" t="s">
        <v>51</v>
      </c>
      <c r="D16" s="27" t="s">
        <v>39</v>
      </c>
      <c r="E16" s="36">
        <f>56.85*0.2*0.2*1.1</f>
        <v>2.5014000000000007</v>
      </c>
      <c r="F16" s="105"/>
      <c r="G16" s="106"/>
      <c r="H16" s="32"/>
      <c r="I16" s="32"/>
      <c r="J16" s="128">
        <v>250</v>
      </c>
      <c r="K16" s="53"/>
      <c r="L16" s="129">
        <f>J16*E16</f>
        <v>625.35000000000014</v>
      </c>
      <c r="M16" s="245" t="s">
        <v>17</v>
      </c>
    </row>
    <row r="17" spans="1:13">
      <c r="A17" s="287" t="s">
        <v>52</v>
      </c>
      <c r="B17" s="78" t="s">
        <v>53</v>
      </c>
      <c r="C17" s="72" t="s">
        <v>54</v>
      </c>
      <c r="D17" s="5"/>
      <c r="E17" s="36"/>
      <c r="F17" s="107"/>
      <c r="G17" s="103"/>
      <c r="H17" s="32"/>
      <c r="I17" s="32"/>
      <c r="J17" s="128"/>
      <c r="K17" s="53"/>
      <c r="L17" s="129"/>
      <c r="M17" s="245" t="s">
        <v>17</v>
      </c>
    </row>
    <row r="18" spans="1:13" ht="15.6">
      <c r="A18" s="312" t="s">
        <v>55</v>
      </c>
      <c r="B18" s="108" t="s">
        <v>56</v>
      </c>
      <c r="C18" s="29" t="s">
        <v>57</v>
      </c>
      <c r="D18" s="27" t="s">
        <v>39</v>
      </c>
      <c r="E18" s="36">
        <f>0.9*0.9*11*0.05</f>
        <v>0.44550000000000001</v>
      </c>
      <c r="F18" s="105"/>
      <c r="G18" s="106"/>
      <c r="H18" s="32"/>
      <c r="I18" s="32"/>
      <c r="J18" s="128">
        <v>15</v>
      </c>
      <c r="K18" s="53"/>
      <c r="L18" s="129">
        <f>J18*E18</f>
        <v>6.6825000000000001</v>
      </c>
      <c r="M18" s="245" t="s">
        <v>17</v>
      </c>
    </row>
    <row r="19" spans="1:13" ht="15.6">
      <c r="A19" s="312" t="s">
        <v>58</v>
      </c>
      <c r="B19" s="108" t="s">
        <v>59</v>
      </c>
      <c r="C19" s="29" t="s">
        <v>60</v>
      </c>
      <c r="D19" s="27" t="s">
        <v>39</v>
      </c>
      <c r="E19" s="36">
        <f>56.85*0.6*0.5</f>
        <v>17.055</v>
      </c>
      <c r="F19" s="105"/>
      <c r="G19" s="106"/>
      <c r="H19" s="32"/>
      <c r="I19" s="32"/>
      <c r="J19" s="128">
        <v>60</v>
      </c>
      <c r="K19" s="53"/>
      <c r="L19" s="129">
        <f>J19*E19</f>
        <v>1023.3</v>
      </c>
      <c r="M19" s="245" t="s">
        <v>17</v>
      </c>
    </row>
    <row r="20" spans="1:13" ht="27.6">
      <c r="A20" s="312" t="s">
        <v>61</v>
      </c>
      <c r="B20" s="108" t="s">
        <v>62</v>
      </c>
      <c r="C20" s="26" t="s">
        <v>63</v>
      </c>
      <c r="D20" s="27" t="s">
        <v>39</v>
      </c>
      <c r="E20" s="36">
        <f>97.01*0.07</f>
        <v>6.7907000000000011</v>
      </c>
      <c r="F20" s="105"/>
      <c r="G20" s="106"/>
      <c r="H20" s="32"/>
      <c r="I20" s="32"/>
      <c r="J20" s="128">
        <v>150</v>
      </c>
      <c r="K20" s="53"/>
      <c r="L20" s="129">
        <f>J20*E20</f>
        <v>1018.6050000000001</v>
      </c>
      <c r="M20" s="245" t="s">
        <v>17</v>
      </c>
    </row>
    <row r="21" spans="1:13">
      <c r="A21" s="312" t="s">
        <v>64</v>
      </c>
      <c r="B21" s="108" t="s">
        <v>65</v>
      </c>
      <c r="C21" s="26" t="s">
        <v>66</v>
      </c>
      <c r="D21" s="27" t="s">
        <v>67</v>
      </c>
      <c r="E21" s="36">
        <f>1.5*3+1.45*4</f>
        <v>10.3</v>
      </c>
      <c r="F21" s="107"/>
      <c r="G21" s="106"/>
      <c r="H21" s="32"/>
      <c r="I21" s="32"/>
      <c r="J21" s="128">
        <v>150</v>
      </c>
      <c r="K21" s="53"/>
      <c r="L21" s="129">
        <f>J21*E21</f>
        <v>1545</v>
      </c>
      <c r="M21" s="245" t="s">
        <v>17</v>
      </c>
    </row>
    <row r="22" spans="1:13" ht="15.6">
      <c r="A22" s="312" t="s">
        <v>68</v>
      </c>
      <c r="B22" s="108" t="s">
        <v>69</v>
      </c>
      <c r="C22" s="26" t="s">
        <v>70</v>
      </c>
      <c r="D22" s="27" t="s">
        <v>39</v>
      </c>
      <c r="E22" s="36">
        <f>13.14*0.07</f>
        <v>0.91980000000000017</v>
      </c>
      <c r="F22" s="105"/>
      <c r="G22" s="106"/>
      <c r="H22" s="32"/>
      <c r="I22" s="32"/>
      <c r="J22" s="128">
        <v>150</v>
      </c>
      <c r="K22" s="53"/>
      <c r="L22" s="129">
        <f>J22*E22</f>
        <v>137.97000000000003</v>
      </c>
      <c r="M22" s="245" t="s">
        <v>17</v>
      </c>
    </row>
    <row r="23" spans="1:13">
      <c r="A23" s="151"/>
      <c r="B23" s="5" t="s">
        <v>71</v>
      </c>
      <c r="C23" s="72" t="s">
        <v>72</v>
      </c>
      <c r="D23" s="39"/>
      <c r="E23" s="74"/>
      <c r="F23" s="48"/>
      <c r="G23" s="9">
        <f>F23*E23</f>
        <v>0</v>
      </c>
      <c r="H23" s="69"/>
      <c r="I23" s="69">
        <f t="shared" ref="I23:I46" si="0">+F23*0.2</f>
        <v>0</v>
      </c>
      <c r="J23" s="54"/>
      <c r="K23" s="73"/>
      <c r="L23" s="54"/>
      <c r="M23" s="245" t="s">
        <v>30</v>
      </c>
    </row>
    <row r="24" spans="1:13">
      <c r="A24" s="151" t="s">
        <v>73</v>
      </c>
      <c r="B24" s="5" t="s">
        <v>74</v>
      </c>
      <c r="C24" s="6" t="s">
        <v>75</v>
      </c>
      <c r="D24" s="48"/>
      <c r="E24" s="49"/>
      <c r="F24" s="48"/>
      <c r="G24" s="9"/>
      <c r="H24" s="51"/>
      <c r="I24" s="51">
        <f t="shared" si="0"/>
        <v>0</v>
      </c>
      <c r="J24" s="128"/>
      <c r="K24" s="53"/>
      <c r="L24" s="52"/>
      <c r="M24" s="245" t="s">
        <v>17</v>
      </c>
    </row>
    <row r="25" spans="1:13">
      <c r="A25" s="94">
        <v>3153</v>
      </c>
      <c r="B25" s="360" t="s">
        <v>76</v>
      </c>
      <c r="C25" s="26" t="s">
        <v>77</v>
      </c>
      <c r="D25" s="207" t="s">
        <v>78</v>
      </c>
      <c r="E25" s="227">
        <v>1</v>
      </c>
      <c r="F25" s="236"/>
      <c r="G25" s="236"/>
      <c r="H25" s="239"/>
      <c r="I25" s="206">
        <f t="shared" si="0"/>
        <v>0</v>
      </c>
      <c r="J25" s="84"/>
      <c r="K25" s="241"/>
      <c r="L25" s="219"/>
      <c r="M25" s="245" t="s">
        <v>20</v>
      </c>
    </row>
    <row r="26" spans="1:13" ht="27.6">
      <c r="A26" s="218" t="s">
        <v>79</v>
      </c>
      <c r="B26" s="360" t="s">
        <v>76</v>
      </c>
      <c r="C26" s="26" t="s">
        <v>80</v>
      </c>
      <c r="D26" s="25" t="s">
        <v>3</v>
      </c>
      <c r="E26" s="49">
        <v>1</v>
      </c>
      <c r="F26" s="48">
        <v>1500000</v>
      </c>
      <c r="G26" s="9">
        <f>F26*E26</f>
        <v>1500000</v>
      </c>
      <c r="H26" s="51">
        <f>+F26*0.15</f>
        <v>225000</v>
      </c>
      <c r="I26" s="51">
        <f t="shared" si="0"/>
        <v>300000</v>
      </c>
      <c r="J26" s="128">
        <f>+(F26+H26+I26)/5300</f>
        <v>382.07547169811323</v>
      </c>
      <c r="K26" s="53">
        <f>+J26*E26</f>
        <v>382.07547169811323</v>
      </c>
      <c r="L26" s="52">
        <f>J26*E26</f>
        <v>382.07547169811323</v>
      </c>
      <c r="M26" s="245" t="s">
        <v>17</v>
      </c>
    </row>
    <row r="27" spans="1:13" s="220" customFormat="1" ht="27.6">
      <c r="A27" s="94" t="s">
        <v>81</v>
      </c>
      <c r="B27" s="360" t="s">
        <v>76</v>
      </c>
      <c r="C27" s="306" t="s">
        <v>80</v>
      </c>
      <c r="D27" s="207" t="s">
        <v>3</v>
      </c>
      <c r="E27" s="227">
        <v>1</v>
      </c>
      <c r="F27" s="236">
        <v>1000000</v>
      </c>
      <c r="G27" s="236">
        <f>F27*E27</f>
        <v>1000000</v>
      </c>
      <c r="H27" s="239">
        <f>+F27*0.15</f>
        <v>150000</v>
      </c>
      <c r="I27" s="206">
        <f t="shared" si="0"/>
        <v>200000</v>
      </c>
      <c r="J27" s="84">
        <f>+(F27+H27+I27)/5300</f>
        <v>254.71698113207546</v>
      </c>
      <c r="K27" s="241">
        <f>E27*J27</f>
        <v>254.71698113207546</v>
      </c>
      <c r="L27" s="219"/>
      <c r="M27" s="245" t="s">
        <v>20</v>
      </c>
    </row>
    <row r="28" spans="1:13" s="220" customFormat="1" ht="27.6">
      <c r="A28" s="218" t="s">
        <v>81</v>
      </c>
      <c r="B28" s="360" t="s">
        <v>76</v>
      </c>
      <c r="C28" s="26" t="s">
        <v>80</v>
      </c>
      <c r="D28" s="27" t="s">
        <v>3</v>
      </c>
      <c r="E28" s="70">
        <v>1</v>
      </c>
      <c r="F28" s="27">
        <v>1500000</v>
      </c>
      <c r="G28" s="38">
        <f>F28*E28</f>
        <v>1500000</v>
      </c>
      <c r="H28" s="56">
        <f>+F28*0.15</f>
        <v>225000</v>
      </c>
      <c r="I28" s="56">
        <f t="shared" si="0"/>
        <v>300000</v>
      </c>
      <c r="J28" s="71">
        <f>+(F28+H28+I28)/5300</f>
        <v>382.07547169811323</v>
      </c>
      <c r="K28" s="76">
        <f>+J28*E28</f>
        <v>382.07547169811323</v>
      </c>
      <c r="L28" s="71">
        <f>J28*E28</f>
        <v>382.07547169811323</v>
      </c>
      <c r="M28" s="245" t="s">
        <v>30</v>
      </c>
    </row>
    <row r="29" spans="1:13">
      <c r="A29" s="94" t="s">
        <v>82</v>
      </c>
      <c r="B29" s="95" t="s">
        <v>76</v>
      </c>
      <c r="C29" s="29" t="s">
        <v>83</v>
      </c>
      <c r="D29" s="207" t="s">
        <v>78</v>
      </c>
      <c r="E29" s="227">
        <v>2</v>
      </c>
      <c r="F29" s="236"/>
      <c r="G29" s="236"/>
      <c r="H29" s="239"/>
      <c r="I29" s="206">
        <f t="shared" si="0"/>
        <v>0</v>
      </c>
      <c r="J29" s="84"/>
      <c r="K29" s="241"/>
      <c r="L29" s="219"/>
      <c r="M29" s="245" t="s">
        <v>20</v>
      </c>
    </row>
    <row r="30" spans="1:13">
      <c r="A30" s="94" t="s">
        <v>84</v>
      </c>
      <c r="B30" s="360" t="s">
        <v>76</v>
      </c>
      <c r="C30" s="308" t="s">
        <v>77</v>
      </c>
      <c r="D30" s="26" t="s">
        <v>85</v>
      </c>
      <c r="E30" s="226">
        <v>1</v>
      </c>
      <c r="F30" s="235">
        <v>1000000</v>
      </c>
      <c r="G30" s="309">
        <f t="shared" ref="G30:G46" si="1">F30*E30</f>
        <v>1000000</v>
      </c>
      <c r="H30" s="310">
        <f t="shared" ref="H30:H37" si="2">+F30*0.15</f>
        <v>150000</v>
      </c>
      <c r="I30" s="51">
        <f t="shared" si="0"/>
        <v>200000</v>
      </c>
      <c r="J30" s="84">
        <f>+(I30+H30+F30)/5300</f>
        <v>254.71698113207546</v>
      </c>
      <c r="K30" s="84">
        <f>J30*E30</f>
        <v>254.71698113207546</v>
      </c>
      <c r="L30" s="219"/>
      <c r="M30" s="245" t="s">
        <v>23</v>
      </c>
    </row>
    <row r="31" spans="1:13" ht="27.6">
      <c r="A31" s="94" t="s">
        <v>84</v>
      </c>
      <c r="B31" s="95" t="s">
        <v>76</v>
      </c>
      <c r="C31" s="26" t="s">
        <v>86</v>
      </c>
      <c r="D31" s="26" t="s">
        <v>3</v>
      </c>
      <c r="E31" s="226">
        <v>2</v>
      </c>
      <c r="F31" s="223">
        <v>1000000</v>
      </c>
      <c r="G31" s="2">
        <f t="shared" si="1"/>
        <v>2000000</v>
      </c>
      <c r="H31" s="238">
        <f t="shared" si="2"/>
        <v>150000</v>
      </c>
      <c r="I31" s="51">
        <f t="shared" si="0"/>
        <v>200000</v>
      </c>
      <c r="J31" s="52">
        <f>+(F31+H31+I31)/5300</f>
        <v>254.71698113207546</v>
      </c>
      <c r="K31" s="52">
        <f t="shared" ref="K31:K36" si="3">+J31*E31</f>
        <v>509.43396226415092</v>
      </c>
      <c r="L31" s="219"/>
      <c r="M31" s="245" t="s">
        <v>87</v>
      </c>
    </row>
    <row r="32" spans="1:13" ht="27.6">
      <c r="A32" s="1" t="s">
        <v>84</v>
      </c>
      <c r="B32" s="95" t="s">
        <v>76</v>
      </c>
      <c r="C32" s="122" t="s">
        <v>88</v>
      </c>
      <c r="D32" s="26" t="s">
        <v>3</v>
      </c>
      <c r="E32" s="226">
        <v>2</v>
      </c>
      <c r="F32" s="223">
        <v>1500000</v>
      </c>
      <c r="G32" s="2">
        <f t="shared" si="1"/>
        <v>3000000</v>
      </c>
      <c r="H32" s="51">
        <f t="shared" si="2"/>
        <v>225000</v>
      </c>
      <c r="I32" s="51">
        <f t="shared" si="0"/>
        <v>300000</v>
      </c>
      <c r="J32" s="52">
        <f>+(I32+H32+F32)/5300</f>
        <v>382.07547169811323</v>
      </c>
      <c r="K32" s="52">
        <f t="shared" si="3"/>
        <v>764.15094339622647</v>
      </c>
      <c r="L32" s="219"/>
      <c r="M32" s="245" t="s">
        <v>89</v>
      </c>
    </row>
    <row r="33" spans="1:13" ht="27.6">
      <c r="A33" s="218" t="s">
        <v>90</v>
      </c>
      <c r="B33" s="360" t="s">
        <v>76</v>
      </c>
      <c r="C33" s="26" t="s">
        <v>80</v>
      </c>
      <c r="D33" s="25" t="s">
        <v>3</v>
      </c>
      <c r="E33" s="49">
        <v>2</v>
      </c>
      <c r="F33" s="48">
        <v>1500000</v>
      </c>
      <c r="G33" s="9">
        <f t="shared" si="1"/>
        <v>3000000</v>
      </c>
      <c r="H33" s="51">
        <f t="shared" si="2"/>
        <v>225000</v>
      </c>
      <c r="I33" s="51">
        <f t="shared" si="0"/>
        <v>300000</v>
      </c>
      <c r="J33" s="128">
        <f>+(F33+H33+I33)/5300</f>
        <v>382.07547169811323</v>
      </c>
      <c r="K33" s="53">
        <f t="shared" si="3"/>
        <v>764.15094339622647</v>
      </c>
      <c r="L33" s="52">
        <f>J33*E33</f>
        <v>764.15094339622647</v>
      </c>
      <c r="M33" s="245" t="s">
        <v>17</v>
      </c>
    </row>
    <row r="34" spans="1:13" ht="27.6">
      <c r="A34" s="94" t="s">
        <v>91</v>
      </c>
      <c r="B34" s="95" t="s">
        <v>76</v>
      </c>
      <c r="C34" s="122" t="s">
        <v>92</v>
      </c>
      <c r="D34" s="104" t="s">
        <v>3</v>
      </c>
      <c r="E34" s="226">
        <v>1</v>
      </c>
      <c r="F34" s="223">
        <v>1000000</v>
      </c>
      <c r="G34" s="2">
        <f t="shared" si="1"/>
        <v>1000000</v>
      </c>
      <c r="H34" s="238">
        <f t="shared" si="2"/>
        <v>150000</v>
      </c>
      <c r="I34" s="51">
        <f t="shared" si="0"/>
        <v>200000</v>
      </c>
      <c r="J34" s="52">
        <f>+(H34+I34+F34)/5300</f>
        <v>254.71698113207546</v>
      </c>
      <c r="K34" s="53">
        <f t="shared" si="3"/>
        <v>254.71698113207546</v>
      </c>
      <c r="L34" s="52">
        <f>J34*E34</f>
        <v>254.71698113207546</v>
      </c>
      <c r="M34" s="245" t="s">
        <v>93</v>
      </c>
    </row>
    <row r="35" spans="1:13" ht="27.6">
      <c r="A35" s="94" t="s">
        <v>81</v>
      </c>
      <c r="B35" s="95" t="s">
        <v>94</v>
      </c>
      <c r="C35" s="122" t="s">
        <v>95</v>
      </c>
      <c r="D35" s="26" t="s">
        <v>3</v>
      </c>
      <c r="E35" s="226">
        <v>1</v>
      </c>
      <c r="F35" s="223">
        <v>1000000</v>
      </c>
      <c r="G35" s="2">
        <f t="shared" si="1"/>
        <v>1000000</v>
      </c>
      <c r="H35" s="238">
        <f t="shared" si="2"/>
        <v>150000</v>
      </c>
      <c r="I35" s="51">
        <f t="shared" si="0"/>
        <v>200000</v>
      </c>
      <c r="J35" s="128">
        <f>+(F35+H35+I35)/5300</f>
        <v>254.71698113207546</v>
      </c>
      <c r="K35" s="53">
        <f t="shared" si="3"/>
        <v>254.71698113207546</v>
      </c>
      <c r="L35" s="52">
        <f>E35*J35</f>
        <v>254.71698113207546</v>
      </c>
      <c r="M35" s="245" t="s">
        <v>15</v>
      </c>
    </row>
    <row r="36" spans="1:13">
      <c r="A36" s="302">
        <v>3003</v>
      </c>
      <c r="B36" s="56" t="s">
        <v>96</v>
      </c>
      <c r="C36" s="373" t="s">
        <v>97</v>
      </c>
      <c r="D36" s="55" t="s">
        <v>3</v>
      </c>
      <c r="E36" s="49">
        <v>4</v>
      </c>
      <c r="F36" s="153">
        <v>600000</v>
      </c>
      <c r="G36" s="9">
        <f t="shared" si="1"/>
        <v>2400000</v>
      </c>
      <c r="H36" s="51">
        <f t="shared" si="2"/>
        <v>90000</v>
      </c>
      <c r="I36" s="51">
        <f t="shared" si="0"/>
        <v>120000</v>
      </c>
      <c r="J36" s="128">
        <f>+(F36+H36+I36)/5300</f>
        <v>152.83018867924528</v>
      </c>
      <c r="K36" s="53">
        <f t="shared" si="3"/>
        <v>611.32075471698113</v>
      </c>
      <c r="L36" s="52">
        <f>J36*E36</f>
        <v>611.32075471698113</v>
      </c>
      <c r="M36" s="245" t="s">
        <v>17</v>
      </c>
    </row>
    <row r="37" spans="1:13">
      <c r="A37" s="94" t="s">
        <v>84</v>
      </c>
      <c r="B37" s="95" t="s">
        <v>96</v>
      </c>
      <c r="C37" s="308" t="s">
        <v>98</v>
      </c>
      <c r="D37" s="26" t="s">
        <v>3</v>
      </c>
      <c r="E37" s="26">
        <v>1</v>
      </c>
      <c r="F37" s="311">
        <v>2000000</v>
      </c>
      <c r="G37" s="309">
        <f t="shared" si="1"/>
        <v>2000000</v>
      </c>
      <c r="H37" s="310">
        <f t="shared" si="2"/>
        <v>300000</v>
      </c>
      <c r="I37" s="51">
        <f t="shared" si="0"/>
        <v>400000</v>
      </c>
      <c r="J37" s="84">
        <f>+(I37+H37+F37)/5300</f>
        <v>509.43396226415092</v>
      </c>
      <c r="K37" s="84">
        <f>J37*E37</f>
        <v>509.43396226415092</v>
      </c>
      <c r="L37" s="219"/>
      <c r="M37" s="245" t="s">
        <v>23</v>
      </c>
    </row>
    <row r="38" spans="1:13">
      <c r="A38" s="280" t="s">
        <v>99</v>
      </c>
      <c r="B38" s="13" t="s">
        <v>100</v>
      </c>
      <c r="C38" s="146" t="s">
        <v>101</v>
      </c>
      <c r="D38" s="222"/>
      <c r="E38" s="227"/>
      <c r="F38" s="222"/>
      <c r="G38" s="236">
        <f t="shared" si="1"/>
        <v>0</v>
      </c>
      <c r="H38" s="239"/>
      <c r="I38" s="206">
        <f t="shared" si="0"/>
        <v>0</v>
      </c>
      <c r="J38" s="84"/>
      <c r="K38" s="241"/>
      <c r="L38" s="219"/>
      <c r="M38" s="245" t="s">
        <v>20</v>
      </c>
    </row>
    <row r="39" spans="1:13">
      <c r="A39" s="302">
        <v>3001</v>
      </c>
      <c r="B39" s="56" t="s">
        <v>102</v>
      </c>
      <c r="C39" s="26" t="s">
        <v>103</v>
      </c>
      <c r="D39" s="25" t="s">
        <v>3</v>
      </c>
      <c r="E39" s="49">
        <v>1</v>
      </c>
      <c r="F39" s="75">
        <v>12000000</v>
      </c>
      <c r="G39" s="9">
        <f t="shared" si="1"/>
        <v>12000000</v>
      </c>
      <c r="H39" s="69">
        <f t="shared" ref="H39:H46" si="4">+F39*0.15</f>
        <v>1800000</v>
      </c>
      <c r="I39" s="69">
        <f t="shared" si="0"/>
        <v>2400000</v>
      </c>
      <c r="J39" s="54">
        <f>+(F39+H39+I39)/5300</f>
        <v>3056.6037735849059</v>
      </c>
      <c r="K39" s="73">
        <f>+J39*E39</f>
        <v>3056.6037735849059</v>
      </c>
      <c r="L39" s="54">
        <f>J39*E39</f>
        <v>3056.6037735849059</v>
      </c>
      <c r="M39" s="245" t="s">
        <v>30</v>
      </c>
    </row>
    <row r="40" spans="1:13">
      <c r="A40" s="302">
        <v>3001</v>
      </c>
      <c r="B40" s="56" t="s">
        <v>102</v>
      </c>
      <c r="C40" s="26" t="s">
        <v>103</v>
      </c>
      <c r="D40" s="25" t="s">
        <v>3</v>
      </c>
      <c r="E40" s="49">
        <v>1</v>
      </c>
      <c r="F40" s="64">
        <v>10000000</v>
      </c>
      <c r="G40" s="9">
        <f t="shared" si="1"/>
        <v>10000000</v>
      </c>
      <c r="H40" s="51">
        <f t="shared" si="4"/>
        <v>1500000</v>
      </c>
      <c r="I40" s="51">
        <f t="shared" si="0"/>
        <v>2000000</v>
      </c>
      <c r="J40" s="128">
        <f>+(F40+H40+I40)/5300</f>
        <v>2547.1698113207549</v>
      </c>
      <c r="K40" s="53">
        <f>+J40*E40</f>
        <v>2547.1698113207549</v>
      </c>
      <c r="L40" s="52">
        <f>J40*E40</f>
        <v>2547.1698113207549</v>
      </c>
      <c r="M40" s="245" t="s">
        <v>17</v>
      </c>
    </row>
    <row r="41" spans="1:13">
      <c r="A41" s="299">
        <v>3001</v>
      </c>
      <c r="B41" s="56" t="s">
        <v>104</v>
      </c>
      <c r="C41" s="207" t="s">
        <v>105</v>
      </c>
      <c r="D41" s="207" t="s">
        <v>3</v>
      </c>
      <c r="E41" s="227">
        <v>1</v>
      </c>
      <c r="F41" s="268">
        <v>8000000</v>
      </c>
      <c r="G41" s="236">
        <f t="shared" si="1"/>
        <v>8000000</v>
      </c>
      <c r="H41" s="239">
        <f t="shared" si="4"/>
        <v>1200000</v>
      </c>
      <c r="I41" s="206">
        <f t="shared" si="0"/>
        <v>1600000</v>
      </c>
      <c r="J41" s="84">
        <f>+(F41+H41+I41)/5300</f>
        <v>2037.7358490566037</v>
      </c>
      <c r="K41" s="241">
        <f>E41*J41</f>
        <v>2037.7358490566037</v>
      </c>
      <c r="L41" s="219"/>
      <c r="M41" s="245" t="s">
        <v>20</v>
      </c>
    </row>
    <row r="42" spans="1:13">
      <c r="A42" s="299">
        <v>3001</v>
      </c>
      <c r="B42" s="56" t="s">
        <v>104</v>
      </c>
      <c r="C42" s="26" t="s">
        <v>105</v>
      </c>
      <c r="D42" s="104" t="s">
        <v>3</v>
      </c>
      <c r="E42" s="226">
        <v>1</v>
      </c>
      <c r="F42" s="225">
        <v>8000000</v>
      </c>
      <c r="G42" s="2">
        <f t="shared" si="1"/>
        <v>8000000</v>
      </c>
      <c r="H42" s="238">
        <f t="shared" si="4"/>
        <v>1200000</v>
      </c>
      <c r="I42" s="51">
        <f t="shared" si="0"/>
        <v>1600000</v>
      </c>
      <c r="J42" s="52">
        <f>+(H42+I42+F42)/5300</f>
        <v>2037.7358490566037</v>
      </c>
      <c r="K42" s="53">
        <f>+J42*E42</f>
        <v>2037.7358490566037</v>
      </c>
      <c r="L42" s="52">
        <f>J42*E42</f>
        <v>2037.7358490566037</v>
      </c>
      <c r="M42" s="245" t="s">
        <v>93</v>
      </c>
    </row>
    <row r="43" spans="1:13">
      <c r="A43" s="299">
        <v>3001</v>
      </c>
      <c r="B43" s="56" t="s">
        <v>104</v>
      </c>
      <c r="C43" s="26" t="s">
        <v>105</v>
      </c>
      <c r="D43" s="26" t="s">
        <v>3</v>
      </c>
      <c r="E43" s="226">
        <v>1</v>
      </c>
      <c r="F43" s="225">
        <v>8000000</v>
      </c>
      <c r="G43" s="2">
        <f t="shared" si="1"/>
        <v>8000000</v>
      </c>
      <c r="H43" s="238">
        <f t="shared" si="4"/>
        <v>1200000</v>
      </c>
      <c r="I43" s="51">
        <f t="shared" si="0"/>
        <v>1600000</v>
      </c>
      <c r="J43" s="128">
        <f>+(F43+H43+I43)/5300</f>
        <v>2037.7358490566037</v>
      </c>
      <c r="K43" s="53">
        <f>+J43*E43</f>
        <v>2037.7358490566037</v>
      </c>
      <c r="L43" s="52">
        <f>E43*J43</f>
        <v>2037.7358490566037</v>
      </c>
      <c r="M43" s="245" t="s">
        <v>15</v>
      </c>
    </row>
    <row r="44" spans="1:13">
      <c r="A44" s="301">
        <v>3001</v>
      </c>
      <c r="B44" s="56" t="s">
        <v>106</v>
      </c>
      <c r="C44" s="26" t="s">
        <v>107</v>
      </c>
      <c r="D44" s="26" t="s">
        <v>3</v>
      </c>
      <c r="E44" s="226">
        <v>1</v>
      </c>
      <c r="F44" s="225">
        <v>8500000</v>
      </c>
      <c r="G44" s="2">
        <f t="shared" si="1"/>
        <v>8500000</v>
      </c>
      <c r="H44" s="51">
        <f t="shared" si="4"/>
        <v>1275000</v>
      </c>
      <c r="I44" s="51">
        <f t="shared" si="0"/>
        <v>1700000</v>
      </c>
      <c r="J44" s="52">
        <f>+(I44+H44+F44)/5300</f>
        <v>2165.0943396226417</v>
      </c>
      <c r="K44" s="52">
        <f>+J44*E44</f>
        <v>2165.0943396226417</v>
      </c>
      <c r="L44" s="219"/>
      <c r="M44" s="245" t="s">
        <v>89</v>
      </c>
    </row>
    <row r="45" spans="1:13">
      <c r="A45" s="299">
        <v>3001</v>
      </c>
      <c r="B45" s="56" t="s">
        <v>106</v>
      </c>
      <c r="C45" s="26" t="s">
        <v>107</v>
      </c>
      <c r="D45" s="26" t="s">
        <v>3</v>
      </c>
      <c r="E45" s="226">
        <v>1</v>
      </c>
      <c r="F45" s="225">
        <v>8500000</v>
      </c>
      <c r="G45" s="2">
        <f t="shared" si="1"/>
        <v>8500000</v>
      </c>
      <c r="H45" s="238">
        <f t="shared" si="4"/>
        <v>1275000</v>
      </c>
      <c r="I45" s="51">
        <f t="shared" si="0"/>
        <v>1700000</v>
      </c>
      <c r="J45" s="52">
        <f>+(F45+H45+I45)/5300</f>
        <v>2165.0943396226417</v>
      </c>
      <c r="K45" s="52">
        <f>+J45*E45</f>
        <v>2165.0943396226417</v>
      </c>
      <c r="L45" s="219"/>
      <c r="M45" s="245" t="s">
        <v>87</v>
      </c>
    </row>
    <row r="46" spans="1:13">
      <c r="A46" s="302">
        <v>3004</v>
      </c>
      <c r="B46" s="56" t="s">
        <v>108</v>
      </c>
      <c r="C46" s="26" t="s">
        <v>109</v>
      </c>
      <c r="D46" s="25" t="s">
        <v>3</v>
      </c>
      <c r="E46" s="49">
        <v>2</v>
      </c>
      <c r="F46" s="75">
        <v>15000000</v>
      </c>
      <c r="G46" s="9">
        <f t="shared" si="1"/>
        <v>30000000</v>
      </c>
      <c r="H46" s="51">
        <f t="shared" si="4"/>
        <v>2250000</v>
      </c>
      <c r="I46" s="51">
        <f t="shared" si="0"/>
        <v>3000000</v>
      </c>
      <c r="J46" s="128">
        <f>+(F46+H46+I46)/5300</f>
        <v>3820.7547169811319</v>
      </c>
      <c r="K46" s="53">
        <f>+J46*E46</f>
        <v>7641.5094339622638</v>
      </c>
      <c r="L46" s="52">
        <f>J46*E46</f>
        <v>7641.5094339622638</v>
      </c>
      <c r="M46" s="245" t="s">
        <v>17</v>
      </c>
    </row>
    <row r="47" spans="1:13">
      <c r="A47" s="151" t="s">
        <v>110</v>
      </c>
      <c r="B47" s="5" t="s">
        <v>110</v>
      </c>
      <c r="C47" s="30" t="s">
        <v>111</v>
      </c>
      <c r="D47" s="5"/>
      <c r="E47" s="5"/>
      <c r="F47" s="30"/>
      <c r="G47" s="31"/>
      <c r="H47" s="32"/>
      <c r="I47" s="32"/>
      <c r="J47" s="37"/>
      <c r="K47" s="27"/>
      <c r="L47" s="37">
        <f>+J47*E47</f>
        <v>0</v>
      </c>
      <c r="M47" s="245" t="s">
        <v>30</v>
      </c>
    </row>
    <row r="48" spans="1:13">
      <c r="A48" s="151" t="s">
        <v>110</v>
      </c>
      <c r="B48" s="5" t="s">
        <v>110</v>
      </c>
      <c r="C48" s="30" t="s">
        <v>111</v>
      </c>
      <c r="D48" s="5"/>
      <c r="E48" s="5"/>
      <c r="F48" s="22"/>
      <c r="G48" s="93"/>
      <c r="H48" s="40"/>
      <c r="I48" s="40"/>
      <c r="J48" s="37"/>
      <c r="K48" s="27"/>
      <c r="L48" s="91"/>
      <c r="M48" s="245" t="s">
        <v>30</v>
      </c>
    </row>
    <row r="49" spans="1:13" ht="28.15">
      <c r="A49" s="218" t="s">
        <v>112</v>
      </c>
      <c r="B49" s="27" t="s">
        <v>112</v>
      </c>
      <c r="C49" s="29" t="s">
        <v>113</v>
      </c>
      <c r="D49" s="27" t="s">
        <v>114</v>
      </c>
      <c r="E49" s="27">
        <f>447.33</f>
        <v>447.33</v>
      </c>
      <c r="F49" s="32"/>
      <c r="G49" s="33"/>
      <c r="H49" s="32"/>
      <c r="I49" s="32"/>
      <c r="J49" s="37">
        <f>120000/5300</f>
        <v>22.641509433962263</v>
      </c>
      <c r="K49" s="27"/>
      <c r="L49" s="37">
        <f>+J49*E49</f>
        <v>10128.226415094339</v>
      </c>
      <c r="M49" s="245" t="s">
        <v>30</v>
      </c>
    </row>
    <row r="50" spans="1:13" ht="28.15">
      <c r="A50" s="218" t="s">
        <v>112</v>
      </c>
      <c r="B50" s="27" t="s">
        <v>112</v>
      </c>
      <c r="C50" s="29" t="s">
        <v>113</v>
      </c>
      <c r="D50" s="27" t="s">
        <v>114</v>
      </c>
      <c r="E50" s="27">
        <v>70</v>
      </c>
      <c r="F50" s="40"/>
      <c r="G50" s="87"/>
      <c r="H50" s="40"/>
      <c r="I50" s="40"/>
      <c r="J50" s="37">
        <f>120000/5300</f>
        <v>22.641509433962263</v>
      </c>
      <c r="K50" s="27"/>
      <c r="L50" s="91">
        <f>+J50*E50</f>
        <v>1584.9056603773583</v>
      </c>
      <c r="M50" s="245" t="s">
        <v>30</v>
      </c>
    </row>
    <row r="51" spans="1:13">
      <c r="A51" s="282">
        <v>1.3</v>
      </c>
      <c r="B51" s="39" t="s">
        <v>115</v>
      </c>
      <c r="C51" s="6" t="s">
        <v>116</v>
      </c>
      <c r="D51" s="25"/>
      <c r="E51" s="66"/>
      <c r="F51" s="66">
        <v>0</v>
      </c>
      <c r="G51" s="66">
        <f t="shared" ref="G51:G78" si="5">F51*E51</f>
        <v>0</v>
      </c>
      <c r="H51" s="239">
        <f>+F51*E51</f>
        <v>0</v>
      </c>
      <c r="I51" s="85"/>
      <c r="J51" s="240"/>
      <c r="K51" s="240"/>
      <c r="L51" s="219"/>
      <c r="M51" s="245" t="s">
        <v>20</v>
      </c>
    </row>
    <row r="52" spans="1:13">
      <c r="A52" s="282">
        <v>1.3</v>
      </c>
      <c r="B52" s="39" t="s">
        <v>115</v>
      </c>
      <c r="C52" s="6" t="s">
        <v>116</v>
      </c>
      <c r="D52" s="25"/>
      <c r="E52" s="66"/>
      <c r="F52" s="25"/>
      <c r="G52" s="25">
        <f t="shared" si="5"/>
        <v>0</v>
      </c>
      <c r="H52" s="238"/>
      <c r="I52" s="25"/>
      <c r="J52" s="52"/>
      <c r="K52" s="240"/>
      <c r="L52" s="219"/>
      <c r="M52" s="245" t="s">
        <v>89</v>
      </c>
    </row>
    <row r="53" spans="1:13">
      <c r="A53" s="282">
        <v>1.3</v>
      </c>
      <c r="B53" s="39" t="s">
        <v>115</v>
      </c>
      <c r="C53" s="6" t="s">
        <v>116</v>
      </c>
      <c r="D53" s="25"/>
      <c r="E53" s="66"/>
      <c r="F53" s="25"/>
      <c r="G53" s="25">
        <f t="shared" si="5"/>
        <v>0</v>
      </c>
      <c r="H53" s="238">
        <f t="shared" ref="H53:H59" si="6">+F53*E53</f>
        <v>0</v>
      </c>
      <c r="I53" s="25"/>
      <c r="J53" s="240"/>
      <c r="K53" s="25">
        <f>J53*I53</f>
        <v>0</v>
      </c>
      <c r="L53" s="240"/>
      <c r="M53" s="245" t="s">
        <v>117</v>
      </c>
    </row>
    <row r="54" spans="1:13">
      <c r="A54" s="282">
        <v>1.3</v>
      </c>
      <c r="B54" s="39" t="s">
        <v>115</v>
      </c>
      <c r="C54" s="6" t="s">
        <v>116</v>
      </c>
      <c r="D54" s="25"/>
      <c r="E54" s="25"/>
      <c r="F54" s="25"/>
      <c r="G54" s="25">
        <f t="shared" si="5"/>
        <v>0</v>
      </c>
      <c r="H54" s="238">
        <f t="shared" si="6"/>
        <v>0</v>
      </c>
      <c r="I54" s="25"/>
      <c r="J54" s="52"/>
      <c r="K54" s="25">
        <f>J54*I54</f>
        <v>0</v>
      </c>
      <c r="L54" s="240"/>
      <c r="M54" s="245" t="s">
        <v>118</v>
      </c>
    </row>
    <row r="55" spans="1:13">
      <c r="A55" s="282">
        <v>1.3</v>
      </c>
      <c r="B55" s="39" t="s">
        <v>115</v>
      </c>
      <c r="C55" s="6" t="s">
        <v>116</v>
      </c>
      <c r="D55" s="25"/>
      <c r="E55" s="66"/>
      <c r="F55" s="233"/>
      <c r="G55" s="25">
        <f t="shared" si="5"/>
        <v>0</v>
      </c>
      <c r="H55" s="238">
        <f t="shared" si="6"/>
        <v>0</v>
      </c>
      <c r="I55" s="25"/>
      <c r="J55" s="84"/>
      <c r="K55" s="52"/>
      <c r="L55" s="219"/>
      <c r="M55" s="245" t="s">
        <v>23</v>
      </c>
    </row>
    <row r="56" spans="1:13">
      <c r="A56" s="282">
        <v>1.3</v>
      </c>
      <c r="B56" s="39" t="s">
        <v>115</v>
      </c>
      <c r="C56" s="44" t="s">
        <v>116</v>
      </c>
      <c r="D56" s="27"/>
      <c r="E56" s="42"/>
      <c r="F56" s="32">
        <v>0</v>
      </c>
      <c r="G56" s="32">
        <f t="shared" si="5"/>
        <v>0</v>
      </c>
      <c r="H56" s="37">
        <f t="shared" si="6"/>
        <v>0</v>
      </c>
      <c r="I56" s="27"/>
      <c r="J56" s="37"/>
      <c r="K56" s="27"/>
      <c r="L56" s="41"/>
      <c r="M56" s="245" t="s">
        <v>30</v>
      </c>
    </row>
    <row r="57" spans="1:13">
      <c r="A57" s="282">
        <v>1.3</v>
      </c>
      <c r="B57" s="39" t="s">
        <v>115</v>
      </c>
      <c r="C57" s="6" t="s">
        <v>116</v>
      </c>
      <c r="D57" s="25"/>
      <c r="E57" s="66"/>
      <c r="F57" s="53">
        <v>0</v>
      </c>
      <c r="G57" s="66">
        <f t="shared" si="5"/>
        <v>0</v>
      </c>
      <c r="H57" s="238">
        <f t="shared" si="6"/>
        <v>0</v>
      </c>
      <c r="I57" s="25"/>
      <c r="J57" s="52"/>
      <c r="K57" s="240"/>
      <c r="L57" s="219"/>
      <c r="M57" s="245" t="s">
        <v>87</v>
      </c>
    </row>
    <row r="58" spans="1:13">
      <c r="A58" s="282">
        <v>1.3</v>
      </c>
      <c r="B58" s="39" t="s">
        <v>115</v>
      </c>
      <c r="C58" s="34" t="s">
        <v>116</v>
      </c>
      <c r="D58" s="32"/>
      <c r="E58" s="229"/>
      <c r="F58" s="73">
        <v>0</v>
      </c>
      <c r="G58" s="229">
        <f t="shared" si="5"/>
        <v>0</v>
      </c>
      <c r="H58" s="238">
        <f t="shared" si="6"/>
        <v>0</v>
      </c>
      <c r="I58" s="25"/>
      <c r="J58" s="86"/>
      <c r="K58" s="229"/>
      <c r="L58" s="52"/>
      <c r="M58" s="245" t="s">
        <v>17</v>
      </c>
    </row>
    <row r="59" spans="1:13">
      <c r="A59" s="151" t="s">
        <v>119</v>
      </c>
      <c r="B59" s="5" t="s">
        <v>115</v>
      </c>
      <c r="C59" s="6" t="s">
        <v>116</v>
      </c>
      <c r="D59" s="337"/>
      <c r="E59" s="65"/>
      <c r="F59" s="23"/>
      <c r="G59" s="23">
        <f t="shared" si="5"/>
        <v>0</v>
      </c>
      <c r="H59" s="338">
        <f t="shared" si="6"/>
        <v>0</v>
      </c>
      <c r="I59" s="60"/>
      <c r="J59" s="61"/>
      <c r="K59" s="47">
        <f>J59*I59</f>
        <v>0</v>
      </c>
      <c r="L59" s="61"/>
      <c r="M59" s="339" t="s">
        <v>93</v>
      </c>
    </row>
    <row r="60" spans="1:13">
      <c r="A60" s="151" t="s">
        <v>119</v>
      </c>
      <c r="B60" s="5" t="s">
        <v>115</v>
      </c>
      <c r="C60" s="34" t="s">
        <v>116</v>
      </c>
      <c r="D60" s="30"/>
      <c r="E60" s="341"/>
      <c r="F60" s="30"/>
      <c r="G60" s="30">
        <f t="shared" si="5"/>
        <v>0</v>
      </c>
      <c r="H60" s="338"/>
      <c r="I60" s="23"/>
      <c r="J60" s="342"/>
      <c r="K60" s="30">
        <f>J60*I60</f>
        <v>0</v>
      </c>
      <c r="L60" s="61"/>
      <c r="M60" s="339" t="s">
        <v>15</v>
      </c>
    </row>
    <row r="61" spans="1:13">
      <c r="A61" s="35" t="s">
        <v>120</v>
      </c>
      <c r="B61" s="7" t="s">
        <v>121</v>
      </c>
      <c r="C61" s="26" t="s">
        <v>122</v>
      </c>
      <c r="D61" s="25" t="s">
        <v>123</v>
      </c>
      <c r="E61" s="66">
        <v>1</v>
      </c>
      <c r="F61" s="66">
        <f>333.7845*1.50943396226415</f>
        <v>503.82566037735813</v>
      </c>
      <c r="G61" s="66">
        <f t="shared" si="5"/>
        <v>503.82566037735813</v>
      </c>
      <c r="H61" s="239">
        <f t="shared" ref="H61:H78" si="7">+F61*E61</f>
        <v>503.82566037735813</v>
      </c>
      <c r="I61" s="85"/>
      <c r="J61" s="240">
        <f>333.7845*1.50943396226415</f>
        <v>503.82566037735813</v>
      </c>
      <c r="K61" s="240">
        <f>E61*J61</f>
        <v>503.82566037735813</v>
      </c>
      <c r="L61" s="219"/>
      <c r="M61" s="245" t="s">
        <v>20</v>
      </c>
    </row>
    <row r="62" spans="1:13">
      <c r="A62" s="35" t="s">
        <v>120</v>
      </c>
      <c r="B62" s="7" t="s">
        <v>121</v>
      </c>
      <c r="C62" s="26" t="s">
        <v>122</v>
      </c>
      <c r="D62" s="25" t="s">
        <v>123</v>
      </c>
      <c r="E62" s="66">
        <v>1</v>
      </c>
      <c r="F62" s="25">
        <f>117.89*8000/5300</f>
        <v>177.94716981132075</v>
      </c>
      <c r="G62" s="25">
        <f t="shared" si="5"/>
        <v>177.94716981132075</v>
      </c>
      <c r="H62" s="238">
        <f t="shared" si="7"/>
        <v>177.94716981132075</v>
      </c>
      <c r="I62" s="25"/>
      <c r="J62" s="52">
        <f>117.89*8000/5300</f>
        <v>177.94716981132075</v>
      </c>
      <c r="K62" s="240">
        <f>J62*E62</f>
        <v>177.94716981132075</v>
      </c>
      <c r="L62" s="219"/>
      <c r="M62" s="245" t="s">
        <v>89</v>
      </c>
    </row>
    <row r="63" spans="1:13">
      <c r="A63" s="218" t="s">
        <v>120</v>
      </c>
      <c r="B63" s="7" t="s">
        <v>121</v>
      </c>
      <c r="C63" s="26" t="s">
        <v>122</v>
      </c>
      <c r="D63" s="25" t="s">
        <v>123</v>
      </c>
      <c r="E63" s="66">
        <v>1</v>
      </c>
      <c r="F63" s="25">
        <f>117.89*8000/5300</f>
        <v>177.94716981132075</v>
      </c>
      <c r="G63" s="25">
        <f t="shared" si="5"/>
        <v>177.94716981132075</v>
      </c>
      <c r="H63" s="238">
        <f t="shared" si="7"/>
        <v>177.94716981132075</v>
      </c>
      <c r="I63" s="25"/>
      <c r="J63" s="240">
        <f>117.89*8000/5300</f>
        <v>177.94716981132075</v>
      </c>
      <c r="K63" s="25">
        <f>J63*I63</f>
        <v>0</v>
      </c>
      <c r="L63" s="240">
        <f>+J63*E63</f>
        <v>177.94716981132075</v>
      </c>
      <c r="M63" s="245" t="s">
        <v>117</v>
      </c>
    </row>
    <row r="64" spans="1:13">
      <c r="A64" s="35" t="s">
        <v>120</v>
      </c>
      <c r="B64" s="7" t="s">
        <v>121</v>
      </c>
      <c r="C64" s="26" t="s">
        <v>122</v>
      </c>
      <c r="D64" s="25" t="s">
        <v>123</v>
      </c>
      <c r="E64" s="25">
        <v>1</v>
      </c>
      <c r="F64" s="25">
        <f>117.89*8000/5300</f>
        <v>177.94716981132075</v>
      </c>
      <c r="G64" s="25">
        <f t="shared" si="5"/>
        <v>177.94716981132075</v>
      </c>
      <c r="H64" s="238">
        <f t="shared" si="7"/>
        <v>177.94716981132075</v>
      </c>
      <c r="I64" s="25"/>
      <c r="J64" s="52">
        <f>117.89*8000/5300</f>
        <v>177.94716981132075</v>
      </c>
      <c r="K64" s="25">
        <f>J64*I64</f>
        <v>0</v>
      </c>
      <c r="L64" s="240">
        <f>+J64*E64</f>
        <v>177.94716981132075</v>
      </c>
      <c r="M64" s="245" t="s">
        <v>118</v>
      </c>
    </row>
    <row r="65" spans="1:13">
      <c r="A65" s="218" t="s">
        <v>120</v>
      </c>
      <c r="B65" s="7" t="s">
        <v>121</v>
      </c>
      <c r="C65" s="26" t="s">
        <v>122</v>
      </c>
      <c r="D65" s="25" t="s">
        <v>123</v>
      </c>
      <c r="E65" s="66">
        <v>1</v>
      </c>
      <c r="F65" s="233">
        <f>117.89*8000/5300</f>
        <v>177.94716981132075</v>
      </c>
      <c r="G65" s="25">
        <f t="shared" si="5"/>
        <v>177.94716981132075</v>
      </c>
      <c r="H65" s="238">
        <f t="shared" si="7"/>
        <v>177.94716981132075</v>
      </c>
      <c r="I65" s="25"/>
      <c r="J65" s="84">
        <f>117.89*8000/5300</f>
        <v>177.94716981132075</v>
      </c>
      <c r="K65" s="52">
        <f>+J65*E65</f>
        <v>177.94716981132075</v>
      </c>
      <c r="L65" s="219"/>
      <c r="M65" s="245" t="s">
        <v>23</v>
      </c>
    </row>
    <row r="66" spans="1:13">
      <c r="A66" s="218" t="s">
        <v>120</v>
      </c>
      <c r="B66" s="7" t="s">
        <v>121</v>
      </c>
      <c r="C66" s="43" t="s">
        <v>122</v>
      </c>
      <c r="D66" s="27" t="s">
        <v>123</v>
      </c>
      <c r="E66" s="42">
        <v>1</v>
      </c>
      <c r="F66" s="32">
        <f>228.7845*1.50943396226415</f>
        <v>345.3350943396224</v>
      </c>
      <c r="G66" s="32">
        <f t="shared" si="5"/>
        <v>345.3350943396224</v>
      </c>
      <c r="H66" s="37">
        <f t="shared" si="7"/>
        <v>345.3350943396224</v>
      </c>
      <c r="I66" s="27"/>
      <c r="J66" s="37">
        <f>228.7845*1.50943396226415</f>
        <v>345.3350943396224</v>
      </c>
      <c r="K66" s="27">
        <f>J66*I66</f>
        <v>0</v>
      </c>
      <c r="L66" s="41">
        <f>+J66*E66</f>
        <v>345.3350943396224</v>
      </c>
      <c r="M66" s="245" t="s">
        <v>30</v>
      </c>
    </row>
    <row r="67" spans="1:13">
      <c r="A67" s="218" t="s">
        <v>120</v>
      </c>
      <c r="B67" s="7" t="s">
        <v>121</v>
      </c>
      <c r="C67" s="26" t="s">
        <v>122</v>
      </c>
      <c r="D67" s="25" t="s">
        <v>123</v>
      </c>
      <c r="E67" s="66">
        <v>1</v>
      </c>
      <c r="F67" s="53">
        <f>228.7845*1.50943396226415</f>
        <v>345.3350943396224</v>
      </c>
      <c r="G67" s="66">
        <f t="shared" si="5"/>
        <v>345.3350943396224</v>
      </c>
      <c r="H67" s="238">
        <f t="shared" si="7"/>
        <v>345.3350943396224</v>
      </c>
      <c r="I67" s="25"/>
      <c r="J67" s="52">
        <f>228.7845*1.50943396226415</f>
        <v>345.3350943396224</v>
      </c>
      <c r="K67" s="240">
        <f>+J67*E67</f>
        <v>345.3350943396224</v>
      </c>
      <c r="L67" s="219"/>
      <c r="M67" s="245" t="s">
        <v>87</v>
      </c>
    </row>
    <row r="68" spans="1:13">
      <c r="A68" s="218" t="s">
        <v>120</v>
      </c>
      <c r="B68" s="7" t="s">
        <v>121</v>
      </c>
      <c r="C68" s="29" t="s">
        <v>122</v>
      </c>
      <c r="D68" s="32" t="s">
        <v>123</v>
      </c>
      <c r="E68" s="229">
        <v>1</v>
      </c>
      <c r="F68" s="73">
        <f>228.7845*1.50943396226415</f>
        <v>345.3350943396224</v>
      </c>
      <c r="G68" s="229">
        <f t="shared" si="5"/>
        <v>345.3350943396224</v>
      </c>
      <c r="H68" s="238">
        <f t="shared" si="7"/>
        <v>345.3350943396224</v>
      </c>
      <c r="I68" s="25"/>
      <c r="J68" s="86">
        <f>228.7845*1.50943396226415</f>
        <v>345.3350943396224</v>
      </c>
      <c r="K68" s="229">
        <f>J68*I68</f>
        <v>0</v>
      </c>
      <c r="L68" s="52">
        <f>+J68*E68</f>
        <v>345.3350943396224</v>
      </c>
      <c r="M68" s="245" t="s">
        <v>17</v>
      </c>
    </row>
    <row r="69" spans="1:13">
      <c r="A69" s="35" t="s">
        <v>124</v>
      </c>
      <c r="B69" s="7" t="s">
        <v>125</v>
      </c>
      <c r="C69" s="26" t="s">
        <v>126</v>
      </c>
      <c r="D69" s="25" t="s">
        <v>67</v>
      </c>
      <c r="E69" s="66">
        <v>500</v>
      </c>
      <c r="F69" s="66">
        <f>2.0685*1.50943396226415</f>
        <v>3.1222641509433937</v>
      </c>
      <c r="G69" s="66">
        <f t="shared" si="5"/>
        <v>1561.1320754716969</v>
      </c>
      <c r="H69" s="239">
        <f t="shared" si="7"/>
        <v>1561.1320754716969</v>
      </c>
      <c r="I69" s="85"/>
      <c r="J69" s="240">
        <f>2.0685*1.50943396226415</f>
        <v>3.1222641509433937</v>
      </c>
      <c r="K69" s="240">
        <f>E69*J69</f>
        <v>1561.1320754716969</v>
      </c>
      <c r="L69" s="219"/>
      <c r="M69" s="245" t="s">
        <v>20</v>
      </c>
    </row>
    <row r="70" spans="1:13">
      <c r="A70" s="35" t="s">
        <v>124</v>
      </c>
      <c r="B70" s="7" t="s">
        <v>125</v>
      </c>
      <c r="C70" s="26" t="s">
        <v>126</v>
      </c>
      <c r="D70" s="25" t="s">
        <v>67</v>
      </c>
      <c r="E70" s="66">
        <v>400</v>
      </c>
      <c r="F70" s="25">
        <f>1.97*8000/5300</f>
        <v>2.9735849056603771</v>
      </c>
      <c r="G70" s="25">
        <f t="shared" si="5"/>
        <v>1189.4339622641508</v>
      </c>
      <c r="H70" s="238">
        <f t="shared" si="7"/>
        <v>1189.4339622641508</v>
      </c>
      <c r="I70" s="25"/>
      <c r="J70" s="52">
        <f>1.97*8000/5300</f>
        <v>2.9735849056603771</v>
      </c>
      <c r="K70" s="240">
        <f>J70*E70</f>
        <v>1189.4339622641508</v>
      </c>
      <c r="L70" s="219"/>
      <c r="M70" s="245" t="s">
        <v>89</v>
      </c>
    </row>
    <row r="71" spans="1:13">
      <c r="A71" s="218" t="s">
        <v>124</v>
      </c>
      <c r="B71" s="7" t="s">
        <v>125</v>
      </c>
      <c r="C71" s="26" t="s">
        <v>126</v>
      </c>
      <c r="D71" s="25" t="s">
        <v>67</v>
      </c>
      <c r="E71" s="66">
        <v>200</v>
      </c>
      <c r="F71" s="25">
        <f>1.97*8000/5300</f>
        <v>2.9735849056603771</v>
      </c>
      <c r="G71" s="25">
        <f t="shared" si="5"/>
        <v>594.71698113207538</v>
      </c>
      <c r="H71" s="238">
        <f t="shared" si="7"/>
        <v>594.71698113207538</v>
      </c>
      <c r="I71" s="25"/>
      <c r="J71" s="240">
        <f>1.97*8000/5300</f>
        <v>2.9735849056603771</v>
      </c>
      <c r="K71" s="25">
        <f>J71*I71</f>
        <v>0</v>
      </c>
      <c r="L71" s="240">
        <f>+J71*E71</f>
        <v>594.71698113207538</v>
      </c>
      <c r="M71" s="245" t="s">
        <v>117</v>
      </c>
    </row>
    <row r="72" spans="1:13">
      <c r="A72" s="35" t="s">
        <v>124</v>
      </c>
      <c r="B72" s="7" t="s">
        <v>125</v>
      </c>
      <c r="C72" s="26" t="s">
        <v>126</v>
      </c>
      <c r="D72" s="25" t="s">
        <v>67</v>
      </c>
      <c r="E72" s="25">
        <v>300</v>
      </c>
      <c r="F72" s="25">
        <f>1.97*8000/5300</f>
        <v>2.9735849056603771</v>
      </c>
      <c r="G72" s="25">
        <f t="shared" si="5"/>
        <v>892.07547169811312</v>
      </c>
      <c r="H72" s="238">
        <f t="shared" si="7"/>
        <v>892.07547169811312</v>
      </c>
      <c r="I72" s="25"/>
      <c r="J72" s="52">
        <f>1.97*8000/5300</f>
        <v>2.9735849056603771</v>
      </c>
      <c r="K72" s="25">
        <f>J72*I72</f>
        <v>0</v>
      </c>
      <c r="L72" s="240">
        <f>+J72*E72</f>
        <v>892.07547169811312</v>
      </c>
      <c r="M72" s="245" t="s">
        <v>118</v>
      </c>
    </row>
    <row r="73" spans="1:13">
      <c r="A73" s="218" t="s">
        <v>124</v>
      </c>
      <c r="B73" s="7" t="s">
        <v>125</v>
      </c>
      <c r="C73" s="26" t="s">
        <v>126</v>
      </c>
      <c r="D73" s="25" t="s">
        <v>67</v>
      </c>
      <c r="E73" s="66">
        <v>500</v>
      </c>
      <c r="F73" s="233">
        <f>1.97*8000/5300</f>
        <v>2.9735849056603771</v>
      </c>
      <c r="G73" s="25">
        <f t="shared" si="5"/>
        <v>1486.7924528301885</v>
      </c>
      <c r="H73" s="238">
        <f t="shared" si="7"/>
        <v>1486.7924528301885</v>
      </c>
      <c r="I73" s="25"/>
      <c r="J73" s="84">
        <f>1.97*8000/5300</f>
        <v>2.9735849056603771</v>
      </c>
      <c r="K73" s="52">
        <f>+J73*E73</f>
        <v>1486.7924528301885</v>
      </c>
      <c r="L73" s="219"/>
      <c r="M73" s="245" t="s">
        <v>23</v>
      </c>
    </row>
    <row r="74" spans="1:13">
      <c r="A74" s="218" t="s">
        <v>124</v>
      </c>
      <c r="B74" s="7" t="s">
        <v>125</v>
      </c>
      <c r="C74" s="43" t="s">
        <v>126</v>
      </c>
      <c r="D74" s="27" t="s">
        <v>67</v>
      </c>
      <c r="E74" s="42">
        <v>400</v>
      </c>
      <c r="F74" s="32">
        <f>2.0685*1.50943396226415</f>
        <v>3.1222641509433937</v>
      </c>
      <c r="G74" s="32">
        <f t="shared" si="5"/>
        <v>1248.9056603773574</v>
      </c>
      <c r="H74" s="37">
        <f t="shared" si="7"/>
        <v>1248.9056603773574</v>
      </c>
      <c r="I74" s="27"/>
      <c r="J74" s="37">
        <f>2.0685*1.50943396226415</f>
        <v>3.1222641509433937</v>
      </c>
      <c r="K74" s="32">
        <f>J74*I74</f>
        <v>0</v>
      </c>
      <c r="L74" s="41">
        <f>+J74*E74</f>
        <v>1248.9056603773574</v>
      </c>
      <c r="M74" s="245" t="s">
        <v>30</v>
      </c>
    </row>
    <row r="75" spans="1:13">
      <c r="A75" s="218" t="s">
        <v>124</v>
      </c>
      <c r="B75" s="7" t="s">
        <v>125</v>
      </c>
      <c r="C75" s="26" t="s">
        <v>126</v>
      </c>
      <c r="D75" s="25" t="s">
        <v>67</v>
      </c>
      <c r="E75" s="66">
        <v>400</v>
      </c>
      <c r="F75" s="53">
        <f>2.0685*1.50943396226415</f>
        <v>3.1222641509433937</v>
      </c>
      <c r="G75" s="66">
        <f t="shared" si="5"/>
        <v>1248.9056603773574</v>
      </c>
      <c r="H75" s="238">
        <f t="shared" si="7"/>
        <v>1248.9056603773574</v>
      </c>
      <c r="I75" s="25"/>
      <c r="J75" s="52">
        <f>2.0685*1.50943396226415</f>
        <v>3.1222641509433937</v>
      </c>
      <c r="K75" s="240">
        <f>+J75*E75</f>
        <v>1248.9056603773574</v>
      </c>
      <c r="L75" s="219"/>
      <c r="M75" s="245" t="s">
        <v>87</v>
      </c>
    </row>
    <row r="76" spans="1:13">
      <c r="A76" s="218" t="s">
        <v>124</v>
      </c>
      <c r="B76" s="7" t="s">
        <v>125</v>
      </c>
      <c r="C76" s="29" t="s">
        <v>126</v>
      </c>
      <c r="D76" s="32" t="s">
        <v>67</v>
      </c>
      <c r="E76" s="229">
        <v>700</v>
      </c>
      <c r="F76" s="73">
        <f>2.0685*1.50943396226415</f>
        <v>3.1222641509433937</v>
      </c>
      <c r="G76" s="229">
        <f t="shared" si="5"/>
        <v>2185.5849056603756</v>
      </c>
      <c r="H76" s="238">
        <f t="shared" si="7"/>
        <v>2185.5849056603756</v>
      </c>
      <c r="I76" s="25"/>
      <c r="J76" s="86">
        <f>2.0685*1.50943396226415</f>
        <v>3.1222641509433937</v>
      </c>
      <c r="K76" s="229">
        <f>J76*I76</f>
        <v>0</v>
      </c>
      <c r="L76" s="52">
        <f>+J76*E76</f>
        <v>2185.5849056603756</v>
      </c>
      <c r="M76" s="245" t="s">
        <v>17</v>
      </c>
    </row>
    <row r="77" spans="1:13">
      <c r="A77" s="218" t="s">
        <v>127</v>
      </c>
      <c r="B77" s="7" t="s">
        <v>125</v>
      </c>
      <c r="C77" s="26" t="s">
        <v>126</v>
      </c>
      <c r="D77" s="55" t="s">
        <v>67</v>
      </c>
      <c r="E77" s="66">
        <v>100</v>
      </c>
      <c r="F77" s="25">
        <v>3.6</v>
      </c>
      <c r="G77" s="25">
        <f t="shared" si="5"/>
        <v>360</v>
      </c>
      <c r="H77" s="238">
        <f t="shared" si="7"/>
        <v>360</v>
      </c>
      <c r="I77" s="51"/>
      <c r="J77" s="52">
        <v>3.6</v>
      </c>
      <c r="K77" s="53">
        <f>J77*I77</f>
        <v>0</v>
      </c>
      <c r="L77" s="52">
        <f>+J77*E77</f>
        <v>360</v>
      </c>
      <c r="M77" s="245" t="s">
        <v>93</v>
      </c>
    </row>
    <row r="78" spans="1:13">
      <c r="A78" s="218" t="s">
        <v>127</v>
      </c>
      <c r="B78" s="7" t="s">
        <v>125</v>
      </c>
      <c r="C78" s="29" t="s">
        <v>126</v>
      </c>
      <c r="D78" s="32" t="s">
        <v>67</v>
      </c>
      <c r="E78" s="229">
        <v>50</v>
      </c>
      <c r="F78" s="32">
        <f>3.6*8000/5300</f>
        <v>5.4339622641509431</v>
      </c>
      <c r="G78" s="32">
        <f t="shared" si="5"/>
        <v>271.69811320754718</v>
      </c>
      <c r="H78" s="238">
        <f t="shared" si="7"/>
        <v>271.69811320754718</v>
      </c>
      <c r="I78" s="25"/>
      <c r="J78" s="86">
        <f>3.6*8000/5300</f>
        <v>5.4339622641509431</v>
      </c>
      <c r="K78" s="32">
        <f>J78*I78</f>
        <v>0</v>
      </c>
      <c r="L78" s="52">
        <f>+J78*E78</f>
        <v>271.69811320754718</v>
      </c>
      <c r="M78" s="245" t="s">
        <v>15</v>
      </c>
    </row>
    <row r="79" spans="1:13" ht="27.6">
      <c r="A79" s="357" t="s">
        <v>128</v>
      </c>
      <c r="B79" s="22" t="s">
        <v>129</v>
      </c>
      <c r="C79" s="100" t="s">
        <v>130</v>
      </c>
      <c r="D79" s="20"/>
      <c r="E79" s="97"/>
      <c r="F79" s="98"/>
      <c r="G79" s="96"/>
      <c r="H79" s="313"/>
      <c r="I79" s="313"/>
      <c r="J79" s="145" t="s">
        <v>9</v>
      </c>
      <c r="K79" s="82" t="s">
        <v>10</v>
      </c>
      <c r="L79" s="83" t="s">
        <v>11</v>
      </c>
      <c r="M79" s="245" t="s">
        <v>17</v>
      </c>
    </row>
    <row r="80" spans="1:13" ht="15.6">
      <c r="A80" s="314" t="s">
        <v>131</v>
      </c>
      <c r="B80" s="22" t="s">
        <v>129</v>
      </c>
      <c r="C80" s="18" t="s">
        <v>130</v>
      </c>
      <c r="D80" s="18"/>
      <c r="E80" s="19"/>
      <c r="F80" s="18"/>
      <c r="G80" s="21"/>
      <c r="H80" s="313"/>
      <c r="I80" s="313"/>
      <c r="J80" s="313"/>
      <c r="K80" s="313"/>
      <c r="L80" s="313"/>
      <c r="M80" s="245" t="s">
        <v>30</v>
      </c>
    </row>
    <row r="81" spans="1:13">
      <c r="A81" s="284" t="s">
        <v>132</v>
      </c>
      <c r="B81" s="22" t="s">
        <v>129</v>
      </c>
      <c r="C81" s="30" t="s">
        <v>130</v>
      </c>
      <c r="D81" s="30"/>
      <c r="E81" s="5"/>
      <c r="F81" s="30"/>
      <c r="G81" s="31"/>
      <c r="H81" s="32"/>
      <c r="I81" s="32"/>
      <c r="J81" s="54"/>
      <c r="K81" s="73"/>
      <c r="L81" s="54"/>
      <c r="M81" s="245" t="s">
        <v>30</v>
      </c>
    </row>
    <row r="82" spans="1:13">
      <c r="A82" s="284" t="s">
        <v>132</v>
      </c>
      <c r="B82" s="22" t="s">
        <v>129</v>
      </c>
      <c r="C82" s="30" t="s">
        <v>130</v>
      </c>
      <c r="D82" s="22"/>
      <c r="E82" s="79"/>
      <c r="F82" s="22"/>
      <c r="G82" s="93"/>
      <c r="H82" s="40"/>
      <c r="I82" s="40"/>
      <c r="J82" s="362">
        <f>+J24</f>
        <v>0</v>
      </c>
      <c r="K82" s="76">
        <f>+J82*E82</f>
        <v>0</v>
      </c>
      <c r="L82" s="84">
        <f>+J82*E82</f>
        <v>0</v>
      </c>
      <c r="M82" s="245" t="s">
        <v>30</v>
      </c>
    </row>
    <row r="83" spans="1:13">
      <c r="A83" s="284" t="s">
        <v>132</v>
      </c>
      <c r="B83" s="22" t="s">
        <v>129</v>
      </c>
      <c r="C83" s="30" t="s">
        <v>130</v>
      </c>
      <c r="D83" s="5"/>
      <c r="E83" s="79"/>
      <c r="F83" s="25"/>
      <c r="G83" s="123"/>
      <c r="H83" s="32"/>
      <c r="I83" s="32"/>
      <c r="J83" s="128"/>
      <c r="K83" s="53"/>
      <c r="L83" s="52"/>
      <c r="M83" s="245" t="s">
        <v>17</v>
      </c>
    </row>
    <row r="84" spans="1:13">
      <c r="A84" s="284" t="s">
        <v>132</v>
      </c>
      <c r="B84" s="22" t="s">
        <v>129</v>
      </c>
      <c r="C84" s="30" t="s">
        <v>130</v>
      </c>
      <c r="D84" s="5"/>
      <c r="E84" s="79"/>
      <c r="F84" s="25"/>
      <c r="G84" s="123"/>
      <c r="H84" s="32"/>
      <c r="I84" s="32"/>
      <c r="J84" s="41"/>
      <c r="K84" s="53"/>
      <c r="L84" s="129"/>
      <c r="M84" s="245" t="s">
        <v>17</v>
      </c>
    </row>
    <row r="85" spans="1:13" ht="55.15">
      <c r="A85" s="365" t="s">
        <v>133</v>
      </c>
      <c r="B85" s="27" t="s">
        <v>134</v>
      </c>
      <c r="C85" s="99" t="s">
        <v>135</v>
      </c>
      <c r="D85" s="20"/>
      <c r="E85" s="97"/>
      <c r="F85" s="363"/>
      <c r="G85" s="364"/>
      <c r="H85" s="366"/>
      <c r="I85" s="366"/>
      <c r="J85" s="126" t="s">
        <v>136</v>
      </c>
      <c r="K85" s="126"/>
      <c r="L85" s="126"/>
      <c r="M85" s="367" t="s">
        <v>17</v>
      </c>
    </row>
    <row r="86" spans="1:13" ht="28.15">
      <c r="A86" s="315" t="s">
        <v>137</v>
      </c>
      <c r="B86" s="40" t="s">
        <v>138</v>
      </c>
      <c r="C86" s="29" t="s">
        <v>139</v>
      </c>
      <c r="D86" s="27" t="s">
        <v>140</v>
      </c>
      <c r="E86" s="27">
        <v>1</v>
      </c>
      <c r="F86" s="32"/>
      <c r="G86" s="33"/>
      <c r="H86" s="32"/>
      <c r="I86" s="32"/>
      <c r="J86" s="54">
        <v>100</v>
      </c>
      <c r="K86" s="73">
        <f>+J86*E86</f>
        <v>100</v>
      </c>
      <c r="L86" s="54">
        <f>+J86*E86</f>
        <v>100</v>
      </c>
      <c r="M86" s="245" t="s">
        <v>30</v>
      </c>
    </row>
    <row r="87" spans="1:13" ht="28.15">
      <c r="A87" s="315" t="s">
        <v>137</v>
      </c>
      <c r="B87" s="40" t="s">
        <v>138</v>
      </c>
      <c r="C87" s="29" t="s">
        <v>139</v>
      </c>
      <c r="D87" s="40" t="s">
        <v>140</v>
      </c>
      <c r="E87" s="70">
        <v>1</v>
      </c>
      <c r="F87" s="40"/>
      <c r="G87" s="87"/>
      <c r="H87" s="40"/>
      <c r="I87" s="40"/>
      <c r="J87" s="41" t="e">
        <f>+#REF!</f>
        <v>#REF!</v>
      </c>
      <c r="K87" s="76" t="e">
        <f>+J87*E87</f>
        <v>#REF!</v>
      </c>
      <c r="L87" s="84" t="e">
        <f>+J87*E87</f>
        <v>#REF!</v>
      </c>
      <c r="M87" s="245" t="s">
        <v>30</v>
      </c>
    </row>
    <row r="88" spans="1:13" ht="96.6">
      <c r="A88" s="315" t="s">
        <v>137</v>
      </c>
      <c r="B88" s="40" t="s">
        <v>141</v>
      </c>
      <c r="C88" s="29" t="s">
        <v>139</v>
      </c>
      <c r="D88" s="95" t="s">
        <v>142</v>
      </c>
      <c r="E88" s="95"/>
      <c r="F88" s="95"/>
      <c r="G88" s="95"/>
      <c r="H88" s="95"/>
      <c r="I88" s="95"/>
      <c r="J88" s="95"/>
      <c r="K88" s="95"/>
      <c r="L88" s="95"/>
      <c r="M88" s="245" t="s">
        <v>17</v>
      </c>
    </row>
    <row r="89" spans="1:13" ht="96.6">
      <c r="A89" s="315" t="s">
        <v>137</v>
      </c>
      <c r="B89" s="40" t="s">
        <v>141</v>
      </c>
      <c r="C89" s="29" t="s">
        <v>139</v>
      </c>
      <c r="D89" s="27" t="s">
        <v>140</v>
      </c>
      <c r="E89" s="252" t="s">
        <v>142</v>
      </c>
      <c r="F89" s="252"/>
      <c r="G89" s="252"/>
      <c r="H89" s="252"/>
      <c r="I89" s="252"/>
      <c r="J89" s="252"/>
      <c r="K89" s="252"/>
      <c r="L89" s="252"/>
      <c r="M89" s="245" t="s">
        <v>17</v>
      </c>
    </row>
    <row r="90" spans="1:13">
      <c r="A90" s="282">
        <v>3</v>
      </c>
      <c r="B90" s="39" t="s">
        <v>143</v>
      </c>
      <c r="C90" s="6" t="s">
        <v>144</v>
      </c>
      <c r="D90" s="25"/>
      <c r="E90" s="66"/>
      <c r="F90" s="66">
        <v>0</v>
      </c>
      <c r="G90" s="66">
        <f t="shared" ref="G90:G135" si="8">F90*E90</f>
        <v>0</v>
      </c>
      <c r="H90" s="239">
        <f>+F90*E90</f>
        <v>0</v>
      </c>
      <c r="I90" s="85"/>
      <c r="J90" s="240"/>
      <c r="K90" s="240"/>
      <c r="L90" s="219"/>
      <c r="M90" s="245" t="s">
        <v>20</v>
      </c>
    </row>
    <row r="91" spans="1:13">
      <c r="A91" s="282">
        <v>3</v>
      </c>
      <c r="B91" s="39" t="s">
        <v>143</v>
      </c>
      <c r="C91" s="6" t="s">
        <v>144</v>
      </c>
      <c r="D91" s="25"/>
      <c r="E91" s="66"/>
      <c r="F91" s="25"/>
      <c r="G91" s="25">
        <f t="shared" si="8"/>
        <v>0</v>
      </c>
      <c r="H91" s="238"/>
      <c r="I91" s="25"/>
      <c r="J91" s="52"/>
      <c r="K91" s="240"/>
      <c r="L91" s="219"/>
      <c r="M91" s="245" t="s">
        <v>89</v>
      </c>
    </row>
    <row r="92" spans="1:13">
      <c r="A92" s="151">
        <v>3</v>
      </c>
      <c r="B92" s="39" t="s">
        <v>143</v>
      </c>
      <c r="C92" s="6" t="s">
        <v>144</v>
      </c>
      <c r="D92" s="25"/>
      <c r="E92" s="66"/>
      <c r="F92" s="25"/>
      <c r="G92" s="25">
        <f t="shared" si="8"/>
        <v>0</v>
      </c>
      <c r="H92" s="238">
        <f t="shared" ref="H92:H114" si="9">+F92*E92</f>
        <v>0</v>
      </c>
      <c r="I92" s="25"/>
      <c r="J92" s="240"/>
      <c r="K92" s="25">
        <f>J92*I92</f>
        <v>0</v>
      </c>
      <c r="L92" s="240"/>
      <c r="M92" s="245" t="s">
        <v>117</v>
      </c>
    </row>
    <row r="93" spans="1:13">
      <c r="A93" s="282">
        <v>3</v>
      </c>
      <c r="B93" s="39" t="s">
        <v>143</v>
      </c>
      <c r="C93" s="6" t="s">
        <v>144</v>
      </c>
      <c r="D93" s="25"/>
      <c r="E93" s="25"/>
      <c r="F93" s="25"/>
      <c r="G93" s="25">
        <f t="shared" si="8"/>
        <v>0</v>
      </c>
      <c r="H93" s="238">
        <f t="shared" si="9"/>
        <v>0</v>
      </c>
      <c r="I93" s="25"/>
      <c r="J93" s="52"/>
      <c r="K93" s="25">
        <f>J93*I93</f>
        <v>0</v>
      </c>
      <c r="L93" s="240"/>
      <c r="M93" s="245" t="s">
        <v>118</v>
      </c>
    </row>
    <row r="94" spans="1:13">
      <c r="A94" s="151">
        <v>3</v>
      </c>
      <c r="B94" s="39" t="s">
        <v>143</v>
      </c>
      <c r="C94" s="6" t="s">
        <v>144</v>
      </c>
      <c r="D94" s="25"/>
      <c r="E94" s="66"/>
      <c r="F94" s="233"/>
      <c r="G94" s="25">
        <f t="shared" si="8"/>
        <v>0</v>
      </c>
      <c r="H94" s="238">
        <f t="shared" si="9"/>
        <v>0</v>
      </c>
      <c r="I94" s="25"/>
      <c r="J94" s="84"/>
      <c r="K94" s="52">
        <f>+J94*E94</f>
        <v>0</v>
      </c>
      <c r="L94" s="219"/>
      <c r="M94" s="245" t="s">
        <v>23</v>
      </c>
    </row>
    <row r="95" spans="1:13">
      <c r="A95" s="218">
        <v>3</v>
      </c>
      <c r="B95" s="39" t="s">
        <v>143</v>
      </c>
      <c r="C95" s="43" t="s">
        <v>144</v>
      </c>
      <c r="D95" s="27"/>
      <c r="E95" s="42"/>
      <c r="F95" s="32">
        <v>0</v>
      </c>
      <c r="G95" s="32">
        <f t="shared" si="8"/>
        <v>0</v>
      </c>
      <c r="H95" s="37">
        <f t="shared" si="9"/>
        <v>0</v>
      </c>
      <c r="I95" s="27"/>
      <c r="J95" s="37"/>
      <c r="K95" s="32"/>
      <c r="L95" s="41"/>
      <c r="M95" s="245" t="s">
        <v>30</v>
      </c>
    </row>
    <row r="96" spans="1:13">
      <c r="A96" s="151">
        <v>3</v>
      </c>
      <c r="B96" s="39" t="s">
        <v>143</v>
      </c>
      <c r="C96" s="6" t="s">
        <v>144</v>
      </c>
      <c r="D96" s="25"/>
      <c r="E96" s="66"/>
      <c r="F96" s="53">
        <v>0</v>
      </c>
      <c r="G96" s="66">
        <f t="shared" si="8"/>
        <v>0</v>
      </c>
      <c r="H96" s="238">
        <f t="shared" si="9"/>
        <v>0</v>
      </c>
      <c r="I96" s="25"/>
      <c r="J96" s="52"/>
      <c r="K96" s="240"/>
      <c r="L96" s="219"/>
      <c r="M96" s="245" t="s">
        <v>87</v>
      </c>
    </row>
    <row r="97" spans="1:13">
      <c r="A97" s="151">
        <v>3</v>
      </c>
      <c r="B97" s="39" t="s">
        <v>143</v>
      </c>
      <c r="C97" s="34" t="s">
        <v>144</v>
      </c>
      <c r="D97" s="32"/>
      <c r="E97" s="229"/>
      <c r="F97" s="73">
        <v>0</v>
      </c>
      <c r="G97" s="229">
        <f t="shared" si="8"/>
        <v>0</v>
      </c>
      <c r="H97" s="238">
        <f t="shared" si="9"/>
        <v>0</v>
      </c>
      <c r="I97" s="25"/>
      <c r="J97" s="86"/>
      <c r="K97" s="229"/>
      <c r="L97" s="52"/>
      <c r="M97" s="245" t="s">
        <v>17</v>
      </c>
    </row>
    <row r="98" spans="1:13">
      <c r="A98" s="35">
        <v>3.2</v>
      </c>
      <c r="B98" s="7" t="s">
        <v>145</v>
      </c>
      <c r="C98" s="26" t="s">
        <v>146</v>
      </c>
      <c r="D98" s="25" t="s">
        <v>147</v>
      </c>
      <c r="E98" s="66">
        <v>17</v>
      </c>
      <c r="F98" s="66">
        <f>11.445*1.50943396226415</f>
        <v>17.275471698113197</v>
      </c>
      <c r="G98" s="66">
        <f t="shared" si="8"/>
        <v>293.68301886792437</v>
      </c>
      <c r="H98" s="239">
        <f t="shared" si="9"/>
        <v>293.68301886792437</v>
      </c>
      <c r="I98" s="85"/>
      <c r="J98" s="240">
        <f>11.445*1.50943396226415</f>
        <v>17.275471698113197</v>
      </c>
      <c r="K98" s="240">
        <f>E98*J98</f>
        <v>293.68301886792437</v>
      </c>
      <c r="L98" s="219"/>
      <c r="M98" s="245" t="s">
        <v>20</v>
      </c>
    </row>
    <row r="99" spans="1:13">
      <c r="A99" s="35">
        <v>3.2</v>
      </c>
      <c r="B99" s="7" t="s">
        <v>145</v>
      </c>
      <c r="C99" s="26" t="s">
        <v>148</v>
      </c>
      <c r="D99" s="25" t="s">
        <v>147</v>
      </c>
      <c r="E99" s="205">
        <v>8</v>
      </c>
      <c r="F99" s="25">
        <f>10.9*8000/5300</f>
        <v>16.452830188679247</v>
      </c>
      <c r="G99" s="25">
        <f t="shared" si="8"/>
        <v>131.62264150943398</v>
      </c>
      <c r="H99" s="238">
        <f t="shared" si="9"/>
        <v>131.62264150943398</v>
      </c>
      <c r="I99" s="25"/>
      <c r="J99" s="52">
        <f>10.9*8000/5300</f>
        <v>16.452830188679247</v>
      </c>
      <c r="K99" s="240">
        <f>J99*E99</f>
        <v>131.62264150943398</v>
      </c>
      <c r="L99" s="219"/>
      <c r="M99" s="245" t="s">
        <v>89</v>
      </c>
    </row>
    <row r="100" spans="1:13">
      <c r="A100" s="218">
        <v>3.2</v>
      </c>
      <c r="B100" s="7" t="s">
        <v>145</v>
      </c>
      <c r="C100" s="26" t="s">
        <v>148</v>
      </c>
      <c r="D100" s="25" t="s">
        <v>147</v>
      </c>
      <c r="E100" s="205">
        <v>3</v>
      </c>
      <c r="F100" s="25">
        <f>10.9*8000/5300</f>
        <v>16.452830188679247</v>
      </c>
      <c r="G100" s="25">
        <f t="shared" si="8"/>
        <v>49.358490566037744</v>
      </c>
      <c r="H100" s="238">
        <f t="shared" si="9"/>
        <v>49.358490566037744</v>
      </c>
      <c r="I100" s="25"/>
      <c r="J100" s="240">
        <f>10.9*8000/5300</f>
        <v>16.452830188679247</v>
      </c>
      <c r="K100" s="25">
        <f>J100*I100</f>
        <v>0</v>
      </c>
      <c r="L100" s="240">
        <f>+J100*E100</f>
        <v>49.358490566037744</v>
      </c>
      <c r="M100" s="245" t="s">
        <v>117</v>
      </c>
    </row>
    <row r="101" spans="1:13">
      <c r="A101" s="35">
        <v>3.2</v>
      </c>
      <c r="B101" s="7" t="s">
        <v>145</v>
      </c>
      <c r="C101" s="26" t="s">
        <v>146</v>
      </c>
      <c r="D101" s="25" t="s">
        <v>147</v>
      </c>
      <c r="E101" s="110">
        <v>6</v>
      </c>
      <c r="F101" s="25">
        <f>10.9*8000/5300</f>
        <v>16.452830188679247</v>
      </c>
      <c r="G101" s="25">
        <f t="shared" si="8"/>
        <v>98.716981132075489</v>
      </c>
      <c r="H101" s="238">
        <f t="shared" si="9"/>
        <v>98.716981132075489</v>
      </c>
      <c r="I101" s="25"/>
      <c r="J101" s="52">
        <f>10.9*8000/5300</f>
        <v>16.452830188679247</v>
      </c>
      <c r="K101" s="25">
        <f>J101*I101</f>
        <v>0</v>
      </c>
      <c r="L101" s="240">
        <f>+J101*E101</f>
        <v>98.716981132075489</v>
      </c>
      <c r="M101" s="245" t="s">
        <v>118</v>
      </c>
    </row>
    <row r="102" spans="1:13">
      <c r="A102" s="218">
        <v>3.2</v>
      </c>
      <c r="B102" s="7" t="s">
        <v>145</v>
      </c>
      <c r="C102" s="43" t="s">
        <v>148</v>
      </c>
      <c r="D102" s="27" t="s">
        <v>147</v>
      </c>
      <c r="E102" s="42">
        <v>30</v>
      </c>
      <c r="F102" s="32">
        <f>11.445*8000/5300</f>
        <v>17.275471698113208</v>
      </c>
      <c r="G102" s="32">
        <f t="shared" si="8"/>
        <v>518.2641509433962</v>
      </c>
      <c r="H102" s="37">
        <f t="shared" si="9"/>
        <v>518.2641509433962</v>
      </c>
      <c r="I102" s="27"/>
      <c r="J102" s="37">
        <f>11.445*8000/5300</f>
        <v>17.275471698113208</v>
      </c>
      <c r="K102" s="27">
        <f>J102*I102</f>
        <v>0</v>
      </c>
      <c r="L102" s="41">
        <f>+J102*E102</f>
        <v>518.2641509433962</v>
      </c>
      <c r="M102" s="245" t="s">
        <v>30</v>
      </c>
    </row>
    <row r="103" spans="1:13">
      <c r="A103" s="218">
        <v>3.2</v>
      </c>
      <c r="B103" s="7" t="s">
        <v>145</v>
      </c>
      <c r="C103" s="26" t="s">
        <v>146</v>
      </c>
      <c r="D103" s="25" t="s">
        <v>147</v>
      </c>
      <c r="E103" s="205">
        <v>11</v>
      </c>
      <c r="F103" s="53">
        <f>11.445*1.50943396226415</f>
        <v>17.275471698113197</v>
      </c>
      <c r="G103" s="66">
        <f t="shared" si="8"/>
        <v>190.03018867924516</v>
      </c>
      <c r="H103" s="238">
        <f t="shared" si="9"/>
        <v>190.03018867924516</v>
      </c>
      <c r="I103" s="25"/>
      <c r="J103" s="52">
        <f>11.445*1.50943396226415</f>
        <v>17.275471698113197</v>
      </c>
      <c r="K103" s="240">
        <f>+J103*E103</f>
        <v>190.03018867924516</v>
      </c>
      <c r="L103" s="219"/>
      <c r="M103" s="245" t="s">
        <v>87</v>
      </c>
    </row>
    <row r="104" spans="1:13">
      <c r="A104" s="218">
        <v>3.2</v>
      </c>
      <c r="B104" s="7" t="s">
        <v>145</v>
      </c>
      <c r="C104" s="29" t="s">
        <v>146</v>
      </c>
      <c r="D104" s="32" t="s">
        <v>147</v>
      </c>
      <c r="E104" s="231">
        <v>12</v>
      </c>
      <c r="F104" s="73">
        <f>11.445*1.50943396226415</f>
        <v>17.275471698113197</v>
      </c>
      <c r="G104" s="229">
        <f t="shared" si="8"/>
        <v>207.30566037735838</v>
      </c>
      <c r="H104" s="238">
        <f t="shared" si="9"/>
        <v>207.30566037735838</v>
      </c>
      <c r="I104" s="25"/>
      <c r="J104" s="86">
        <f>11.445*1.50943396226415</f>
        <v>17.275471698113197</v>
      </c>
      <c r="K104" s="229">
        <f>J104*I104</f>
        <v>0</v>
      </c>
      <c r="L104" s="52">
        <f>+J104*E104</f>
        <v>207.30566037735838</v>
      </c>
      <c r="M104" s="245" t="s">
        <v>17</v>
      </c>
    </row>
    <row r="105" spans="1:13">
      <c r="A105" s="218"/>
      <c r="B105" s="27" t="s">
        <v>145</v>
      </c>
      <c r="C105" s="26" t="s">
        <v>146</v>
      </c>
      <c r="D105" s="25" t="s">
        <v>147</v>
      </c>
      <c r="E105" s="205">
        <v>19</v>
      </c>
      <c r="F105" s="233">
        <f>10.9*8000/5300</f>
        <v>16.452830188679247</v>
      </c>
      <c r="G105" s="25">
        <f t="shared" si="8"/>
        <v>312.6037735849057</v>
      </c>
      <c r="H105" s="238">
        <f t="shared" si="9"/>
        <v>312.6037735849057</v>
      </c>
      <c r="I105" s="25"/>
      <c r="J105" s="84">
        <f>10.9*8000/5300</f>
        <v>16.452830188679247</v>
      </c>
      <c r="K105" s="52">
        <f>+J105*E105</f>
        <v>312.6037735849057</v>
      </c>
      <c r="L105" s="219"/>
      <c r="M105" s="245" t="s">
        <v>23</v>
      </c>
    </row>
    <row r="106" spans="1:13">
      <c r="A106" s="35">
        <v>3.1</v>
      </c>
      <c r="B106" s="7" t="s">
        <v>149</v>
      </c>
      <c r="C106" s="26" t="s">
        <v>150</v>
      </c>
      <c r="D106" s="25" t="s">
        <v>147</v>
      </c>
      <c r="E106" s="66">
        <v>35</v>
      </c>
      <c r="F106" s="66">
        <f>8.7465*1.50943396226415</f>
        <v>13.202264150943387</v>
      </c>
      <c r="G106" s="66">
        <f t="shared" si="8"/>
        <v>462.07924528301857</v>
      </c>
      <c r="H106" s="239">
        <f t="shared" si="9"/>
        <v>462.07924528301857</v>
      </c>
      <c r="I106" s="85"/>
      <c r="J106" s="240">
        <f>8.7465*1.50943396226415</f>
        <v>13.202264150943387</v>
      </c>
      <c r="K106" s="240">
        <f>E106*J106</f>
        <v>462.07924528301857</v>
      </c>
      <c r="L106" s="219"/>
      <c r="M106" s="245" t="s">
        <v>20</v>
      </c>
    </row>
    <row r="107" spans="1:13">
      <c r="A107" s="35">
        <v>3.1</v>
      </c>
      <c r="B107" s="7" t="s">
        <v>149</v>
      </c>
      <c r="C107" s="26" t="s">
        <v>150</v>
      </c>
      <c r="D107" s="25" t="s">
        <v>147</v>
      </c>
      <c r="E107" s="205">
        <v>20</v>
      </c>
      <c r="F107" s="25">
        <f>8.33*8000/5300</f>
        <v>12.573584905660377</v>
      </c>
      <c r="G107" s="25">
        <f t="shared" si="8"/>
        <v>251.47169811320754</v>
      </c>
      <c r="H107" s="238">
        <f t="shared" si="9"/>
        <v>251.47169811320754</v>
      </c>
      <c r="I107" s="25"/>
      <c r="J107" s="52">
        <f>8.33*8000/5300</f>
        <v>12.573584905660377</v>
      </c>
      <c r="K107" s="240">
        <f>J107*E107</f>
        <v>251.47169811320754</v>
      </c>
      <c r="L107" s="219"/>
      <c r="M107" s="245" t="s">
        <v>89</v>
      </c>
    </row>
    <row r="108" spans="1:13">
      <c r="A108" s="218">
        <v>3.1</v>
      </c>
      <c r="B108" s="7" t="s">
        <v>149</v>
      </c>
      <c r="C108" s="207" t="s">
        <v>150</v>
      </c>
      <c r="D108" s="85" t="s">
        <v>147</v>
      </c>
      <c r="E108" s="264">
        <v>7</v>
      </c>
      <c r="F108" s="85">
        <f>8.33*8000/5300</f>
        <v>12.573584905660377</v>
      </c>
      <c r="G108" s="85">
        <f t="shared" si="8"/>
        <v>88.015094339622635</v>
      </c>
      <c r="H108" s="239">
        <f t="shared" si="9"/>
        <v>88.015094339622635</v>
      </c>
      <c r="I108" s="85"/>
      <c r="J108" s="241">
        <f>8.33*8000/5300</f>
        <v>12.573584905660377</v>
      </c>
      <c r="K108" s="85">
        <f>J108*I108</f>
        <v>0</v>
      </c>
      <c r="L108" s="241">
        <f>+J108*E108</f>
        <v>88.015094339622635</v>
      </c>
      <c r="M108" s="245" t="s">
        <v>117</v>
      </c>
    </row>
    <row r="109" spans="1:13">
      <c r="A109" s="35">
        <v>3.1</v>
      </c>
      <c r="B109" s="7" t="s">
        <v>149</v>
      </c>
      <c r="C109" s="26" t="s">
        <v>150</v>
      </c>
      <c r="D109" s="25" t="s">
        <v>147</v>
      </c>
      <c r="E109" s="110">
        <v>16</v>
      </c>
      <c r="F109" s="25">
        <f>8.33*8000/5300</f>
        <v>12.573584905660377</v>
      </c>
      <c r="G109" s="25">
        <f t="shared" si="8"/>
        <v>201.17735849056604</v>
      </c>
      <c r="H109" s="238">
        <f t="shared" si="9"/>
        <v>201.17735849056604</v>
      </c>
      <c r="I109" s="25"/>
      <c r="J109" s="52">
        <f>8.33*8000/5300</f>
        <v>12.573584905660377</v>
      </c>
      <c r="K109" s="25">
        <f>J109*I109</f>
        <v>0</v>
      </c>
      <c r="L109" s="240">
        <f>+J109*E109</f>
        <v>201.17735849056604</v>
      </c>
      <c r="M109" s="245" t="s">
        <v>118</v>
      </c>
    </row>
    <row r="110" spans="1:13">
      <c r="A110" s="218">
        <v>3.1</v>
      </c>
      <c r="B110" s="7" t="s">
        <v>149</v>
      </c>
      <c r="C110" s="26" t="s">
        <v>150</v>
      </c>
      <c r="D110" s="25" t="s">
        <v>147</v>
      </c>
      <c r="E110" s="205">
        <v>45</v>
      </c>
      <c r="F110" s="233">
        <f>8.33*8000/5300</f>
        <v>12.573584905660377</v>
      </c>
      <c r="G110" s="25">
        <f t="shared" si="8"/>
        <v>565.81132075471703</v>
      </c>
      <c r="H110" s="238">
        <f t="shared" si="9"/>
        <v>565.81132075471703</v>
      </c>
      <c r="I110" s="25"/>
      <c r="J110" s="84">
        <f>8.33*8000/5300</f>
        <v>12.573584905660377</v>
      </c>
      <c r="K110" s="52">
        <f>+J110*E110</f>
        <v>565.81132075471703</v>
      </c>
      <c r="L110" s="219"/>
      <c r="M110" s="245" t="s">
        <v>23</v>
      </c>
    </row>
    <row r="111" spans="1:13">
      <c r="A111" s="218">
        <v>3.1</v>
      </c>
      <c r="B111" s="7" t="s">
        <v>149</v>
      </c>
      <c r="C111" s="43" t="s">
        <v>150</v>
      </c>
      <c r="D111" s="27" t="s">
        <v>147</v>
      </c>
      <c r="E111" s="42">
        <v>50</v>
      </c>
      <c r="F111" s="32">
        <f>8.7465*1.50943396226415</f>
        <v>13.202264150943387</v>
      </c>
      <c r="G111" s="32">
        <f t="shared" si="8"/>
        <v>660.1132075471694</v>
      </c>
      <c r="H111" s="37">
        <f t="shared" si="9"/>
        <v>660.1132075471694</v>
      </c>
      <c r="I111" s="27"/>
      <c r="J111" s="37">
        <f>8.7465*1.50943396226415</f>
        <v>13.202264150943387</v>
      </c>
      <c r="K111" s="27">
        <f>J111*I111</f>
        <v>0</v>
      </c>
      <c r="L111" s="41">
        <f>+J111*E111</f>
        <v>660.1132075471694</v>
      </c>
      <c r="M111" s="245" t="s">
        <v>30</v>
      </c>
    </row>
    <row r="112" spans="1:13">
      <c r="A112" s="218">
        <v>3.1</v>
      </c>
      <c r="B112" s="7" t="s">
        <v>149</v>
      </c>
      <c r="C112" s="26" t="s">
        <v>150</v>
      </c>
      <c r="D112" s="25" t="s">
        <v>147</v>
      </c>
      <c r="E112" s="205">
        <v>26</v>
      </c>
      <c r="F112" s="53">
        <f>8.7465*1.50943396226415</f>
        <v>13.202264150943387</v>
      </c>
      <c r="G112" s="66">
        <f t="shared" si="8"/>
        <v>343.25886792452809</v>
      </c>
      <c r="H112" s="238">
        <f t="shared" si="9"/>
        <v>343.25886792452809</v>
      </c>
      <c r="I112" s="25"/>
      <c r="J112" s="52">
        <f>8.7465*1.50943396226415</f>
        <v>13.202264150943387</v>
      </c>
      <c r="K112" s="240">
        <f>+J112*E112</f>
        <v>343.25886792452809</v>
      </c>
      <c r="L112" s="219"/>
      <c r="M112" s="245" t="s">
        <v>87</v>
      </c>
    </row>
    <row r="113" spans="1:13">
      <c r="A113" s="218">
        <v>3.1</v>
      </c>
      <c r="B113" s="7" t="s">
        <v>149</v>
      </c>
      <c r="C113" s="29" t="s">
        <v>150</v>
      </c>
      <c r="D113" s="32" t="s">
        <v>147</v>
      </c>
      <c r="E113" s="231">
        <v>37</v>
      </c>
      <c r="F113" s="73">
        <f>8.7465*1.50943396226415</f>
        <v>13.202264150943387</v>
      </c>
      <c r="G113" s="229">
        <f t="shared" si="8"/>
        <v>488.48377358490535</v>
      </c>
      <c r="H113" s="238">
        <f t="shared" si="9"/>
        <v>488.48377358490535</v>
      </c>
      <c r="I113" s="25"/>
      <c r="J113" s="86">
        <f>8.7465*1.50943396226415</f>
        <v>13.202264150943387</v>
      </c>
      <c r="K113" s="229">
        <f>J113*I113</f>
        <v>0</v>
      </c>
      <c r="L113" s="52">
        <f>+J113*E113</f>
        <v>488.48377358490535</v>
      </c>
      <c r="M113" s="245" t="s">
        <v>17</v>
      </c>
    </row>
    <row r="114" spans="1:13">
      <c r="A114" s="282">
        <v>2</v>
      </c>
      <c r="B114" s="39" t="s">
        <v>151</v>
      </c>
      <c r="C114" s="6" t="s">
        <v>152</v>
      </c>
      <c r="D114" s="25"/>
      <c r="E114" s="66"/>
      <c r="F114" s="66">
        <v>0</v>
      </c>
      <c r="G114" s="66">
        <f t="shared" si="8"/>
        <v>0</v>
      </c>
      <c r="H114" s="239">
        <f t="shared" si="9"/>
        <v>0</v>
      </c>
      <c r="I114" s="85"/>
      <c r="J114" s="240"/>
      <c r="K114" s="240"/>
      <c r="L114" s="219"/>
      <c r="M114" s="245" t="s">
        <v>20</v>
      </c>
    </row>
    <row r="115" spans="1:13">
      <c r="A115" s="282">
        <v>2</v>
      </c>
      <c r="B115" s="39" t="s">
        <v>151</v>
      </c>
      <c r="C115" s="6" t="s">
        <v>152</v>
      </c>
      <c r="D115" s="25"/>
      <c r="E115" s="66"/>
      <c r="F115" s="25"/>
      <c r="G115" s="25">
        <f t="shared" si="8"/>
        <v>0</v>
      </c>
      <c r="H115" s="238"/>
      <c r="I115" s="25"/>
      <c r="J115" s="52"/>
      <c r="K115" s="240"/>
      <c r="L115" s="219"/>
      <c r="M115" s="245" t="s">
        <v>89</v>
      </c>
    </row>
    <row r="116" spans="1:13" ht="17.45" customHeight="1">
      <c r="A116" s="151">
        <v>2</v>
      </c>
      <c r="B116" s="39" t="s">
        <v>151</v>
      </c>
      <c r="C116" s="6" t="s">
        <v>152</v>
      </c>
      <c r="D116" s="25"/>
      <c r="E116" s="66"/>
      <c r="F116" s="25"/>
      <c r="G116" s="25">
        <f t="shared" si="8"/>
        <v>0</v>
      </c>
      <c r="H116" s="238">
        <f t="shared" ref="H116:H129" si="10">+F116*E116</f>
        <v>0</v>
      </c>
      <c r="I116" s="25"/>
      <c r="J116" s="240"/>
      <c r="K116" s="25">
        <f>J116*I116</f>
        <v>0</v>
      </c>
      <c r="L116" s="240"/>
      <c r="M116" s="245" t="s">
        <v>117</v>
      </c>
    </row>
    <row r="117" spans="1:13">
      <c r="A117" s="282">
        <v>2</v>
      </c>
      <c r="B117" s="39" t="s">
        <v>151</v>
      </c>
      <c r="C117" s="6" t="s">
        <v>152</v>
      </c>
      <c r="D117" s="25"/>
      <c r="E117" s="25"/>
      <c r="F117" s="25"/>
      <c r="G117" s="25">
        <f t="shared" si="8"/>
        <v>0</v>
      </c>
      <c r="H117" s="238">
        <f t="shared" si="10"/>
        <v>0</v>
      </c>
      <c r="I117" s="25"/>
      <c r="J117" s="52"/>
      <c r="K117" s="25">
        <f>J117*I117</f>
        <v>0</v>
      </c>
      <c r="L117" s="240"/>
      <c r="M117" s="245" t="s">
        <v>118</v>
      </c>
    </row>
    <row r="118" spans="1:13">
      <c r="A118" s="151">
        <v>2</v>
      </c>
      <c r="B118" s="39" t="s">
        <v>151</v>
      </c>
      <c r="C118" s="6" t="s">
        <v>152</v>
      </c>
      <c r="D118" s="25"/>
      <c r="E118" s="66"/>
      <c r="F118" s="233"/>
      <c r="G118" s="25">
        <f t="shared" si="8"/>
        <v>0</v>
      </c>
      <c r="H118" s="238">
        <f t="shared" si="10"/>
        <v>0</v>
      </c>
      <c r="I118" s="25"/>
      <c r="J118" s="84"/>
      <c r="K118" s="52"/>
      <c r="L118" s="219"/>
      <c r="M118" s="245" t="s">
        <v>23</v>
      </c>
    </row>
    <row r="119" spans="1:13">
      <c r="A119" s="218">
        <v>2</v>
      </c>
      <c r="B119" s="39" t="s">
        <v>151</v>
      </c>
      <c r="C119" s="44" t="s">
        <v>152</v>
      </c>
      <c r="D119" s="27"/>
      <c r="E119" s="42"/>
      <c r="F119" s="32">
        <v>0</v>
      </c>
      <c r="G119" s="32">
        <f t="shared" si="8"/>
        <v>0</v>
      </c>
      <c r="H119" s="37">
        <f t="shared" si="10"/>
        <v>0</v>
      </c>
      <c r="I119" s="27"/>
      <c r="J119" s="37"/>
      <c r="K119" s="27"/>
      <c r="L119" s="41"/>
      <c r="M119" s="245" t="s">
        <v>30</v>
      </c>
    </row>
    <row r="120" spans="1:13">
      <c r="A120" s="151">
        <v>2</v>
      </c>
      <c r="B120" s="39" t="s">
        <v>151</v>
      </c>
      <c r="C120" s="6" t="s">
        <v>152</v>
      </c>
      <c r="D120" s="25"/>
      <c r="E120" s="66"/>
      <c r="F120" s="53">
        <v>0</v>
      </c>
      <c r="G120" s="66">
        <f t="shared" si="8"/>
        <v>0</v>
      </c>
      <c r="H120" s="238">
        <f t="shared" si="10"/>
        <v>0</v>
      </c>
      <c r="I120" s="25"/>
      <c r="J120" s="52"/>
      <c r="K120" s="240"/>
      <c r="L120" s="219"/>
      <c r="M120" s="245" t="s">
        <v>87</v>
      </c>
    </row>
    <row r="121" spans="1:13">
      <c r="A121" s="151">
        <v>2</v>
      </c>
      <c r="B121" s="39" t="s">
        <v>151</v>
      </c>
      <c r="C121" s="34" t="s">
        <v>152</v>
      </c>
      <c r="D121" s="32"/>
      <c r="E121" s="229"/>
      <c r="F121" s="73">
        <v>0</v>
      </c>
      <c r="G121" s="229">
        <f t="shared" si="8"/>
        <v>0</v>
      </c>
      <c r="H121" s="238">
        <f t="shared" si="10"/>
        <v>0</v>
      </c>
      <c r="I121" s="25"/>
      <c r="J121" s="86"/>
      <c r="K121" s="229"/>
      <c r="L121" s="52"/>
      <c r="M121" s="245" t="s">
        <v>17</v>
      </c>
    </row>
    <row r="122" spans="1:13">
      <c r="A122" s="35">
        <v>1.1000000000000001</v>
      </c>
      <c r="B122" s="7" t="s">
        <v>153</v>
      </c>
      <c r="C122" s="26" t="s">
        <v>154</v>
      </c>
      <c r="D122" s="25" t="s">
        <v>155</v>
      </c>
      <c r="E122" s="66">
        <v>1</v>
      </c>
      <c r="F122" s="66">
        <f>537.6*1.50943396226415</f>
        <v>811.47169811320703</v>
      </c>
      <c r="G122" s="66">
        <f t="shared" si="8"/>
        <v>811.47169811320703</v>
      </c>
      <c r="H122" s="239">
        <f t="shared" si="10"/>
        <v>811.47169811320703</v>
      </c>
      <c r="I122" s="85"/>
      <c r="J122" s="240">
        <f>537.6*1.50943396226415</f>
        <v>811.47169811320703</v>
      </c>
      <c r="K122" s="240">
        <f>E122*J122</f>
        <v>811.47169811320703</v>
      </c>
      <c r="L122" s="219"/>
      <c r="M122" s="245" t="s">
        <v>20</v>
      </c>
    </row>
    <row r="123" spans="1:13">
      <c r="A123" s="35">
        <v>1.1000000000000001</v>
      </c>
      <c r="B123" s="7" t="s">
        <v>153</v>
      </c>
      <c r="C123" s="26" t="s">
        <v>154</v>
      </c>
      <c r="D123" s="25" t="s">
        <v>155</v>
      </c>
      <c r="E123" s="66">
        <v>1</v>
      </c>
      <c r="F123" s="25">
        <f>512*8000/5300</f>
        <v>772.83018867924534</v>
      </c>
      <c r="G123" s="25">
        <f t="shared" si="8"/>
        <v>772.83018867924534</v>
      </c>
      <c r="H123" s="238">
        <f t="shared" si="10"/>
        <v>772.83018867924534</v>
      </c>
      <c r="I123" s="25"/>
      <c r="J123" s="52">
        <f>512*8000/5300</f>
        <v>772.83018867924534</v>
      </c>
      <c r="K123" s="240">
        <f>J123*E123</f>
        <v>772.83018867924534</v>
      </c>
      <c r="L123" s="219"/>
      <c r="M123" s="245" t="s">
        <v>89</v>
      </c>
    </row>
    <row r="124" spans="1:13">
      <c r="A124" s="218">
        <v>1.1000000000000001</v>
      </c>
      <c r="B124" s="7" t="s">
        <v>153</v>
      </c>
      <c r="C124" s="26" t="s">
        <v>154</v>
      </c>
      <c r="D124" s="25" t="s">
        <v>155</v>
      </c>
      <c r="E124" s="66">
        <v>1</v>
      </c>
      <c r="F124" s="25">
        <f>512*8000/5300</f>
        <v>772.83018867924534</v>
      </c>
      <c r="G124" s="25">
        <f t="shared" si="8"/>
        <v>772.83018867924534</v>
      </c>
      <c r="H124" s="238">
        <f t="shared" si="10"/>
        <v>772.83018867924534</v>
      </c>
      <c r="I124" s="25"/>
      <c r="J124" s="240">
        <f>512*8000/5300</f>
        <v>772.83018867924534</v>
      </c>
      <c r="K124" s="25">
        <f>J124*I124</f>
        <v>0</v>
      </c>
      <c r="L124" s="240">
        <f>+J124*E124</f>
        <v>772.83018867924534</v>
      </c>
      <c r="M124" s="245" t="s">
        <v>117</v>
      </c>
    </row>
    <row r="125" spans="1:13">
      <c r="A125" s="35">
        <v>1.1000000000000001</v>
      </c>
      <c r="B125" s="7" t="s">
        <v>153</v>
      </c>
      <c r="C125" s="26" t="s">
        <v>154</v>
      </c>
      <c r="D125" s="25" t="s">
        <v>155</v>
      </c>
      <c r="E125" s="25">
        <v>1</v>
      </c>
      <c r="F125" s="25">
        <f>512*8000/5300</f>
        <v>772.83018867924534</v>
      </c>
      <c r="G125" s="25">
        <f t="shared" si="8"/>
        <v>772.83018867924534</v>
      </c>
      <c r="H125" s="238">
        <f t="shared" si="10"/>
        <v>772.83018867924534</v>
      </c>
      <c r="I125" s="25"/>
      <c r="J125" s="52">
        <f>512*8000/5300</f>
        <v>772.83018867924534</v>
      </c>
      <c r="K125" s="25">
        <f>J125*I125</f>
        <v>0</v>
      </c>
      <c r="L125" s="240">
        <f>+J125*E125</f>
        <v>772.83018867924534</v>
      </c>
      <c r="M125" s="245" t="s">
        <v>118</v>
      </c>
    </row>
    <row r="126" spans="1:13">
      <c r="A126" s="218">
        <v>1.1000000000000001</v>
      </c>
      <c r="B126" s="7" t="s">
        <v>153</v>
      </c>
      <c r="C126" s="26" t="s">
        <v>154</v>
      </c>
      <c r="D126" s="25" t="s">
        <v>155</v>
      </c>
      <c r="E126" s="66">
        <v>1</v>
      </c>
      <c r="F126" s="233">
        <f>512*8000/5300</f>
        <v>772.83018867924534</v>
      </c>
      <c r="G126" s="25">
        <f t="shared" si="8"/>
        <v>772.83018867924534</v>
      </c>
      <c r="H126" s="238">
        <f t="shared" si="10"/>
        <v>772.83018867924534</v>
      </c>
      <c r="I126" s="25"/>
      <c r="J126" s="84">
        <f>512*8000/5300</f>
        <v>772.83018867924534</v>
      </c>
      <c r="K126" s="52">
        <f>+J126*E126</f>
        <v>772.83018867924534</v>
      </c>
      <c r="L126" s="219"/>
      <c r="M126" s="245" t="s">
        <v>23</v>
      </c>
    </row>
    <row r="127" spans="1:13">
      <c r="A127" s="218">
        <v>1.1000000000000001</v>
      </c>
      <c r="B127" s="7" t="s">
        <v>153</v>
      </c>
      <c r="C127" s="43" t="s">
        <v>154</v>
      </c>
      <c r="D127" s="27" t="s">
        <v>155</v>
      </c>
      <c r="E127" s="42">
        <v>1</v>
      </c>
      <c r="F127" s="32">
        <f>537.6*1.50943396226415</f>
        <v>811.47169811320703</v>
      </c>
      <c r="G127" s="32">
        <f t="shared" si="8"/>
        <v>811.47169811320703</v>
      </c>
      <c r="H127" s="37">
        <f t="shared" si="10"/>
        <v>811.47169811320703</v>
      </c>
      <c r="I127" s="27"/>
      <c r="J127" s="37">
        <f>537.6*1.50943396226415</f>
        <v>811.47169811320703</v>
      </c>
      <c r="K127" s="27">
        <f>J127*I127</f>
        <v>0</v>
      </c>
      <c r="L127" s="41">
        <f>+J127*E127</f>
        <v>811.47169811320703</v>
      </c>
      <c r="M127" s="245" t="s">
        <v>30</v>
      </c>
    </row>
    <row r="128" spans="1:13">
      <c r="A128" s="218">
        <v>1.1000000000000001</v>
      </c>
      <c r="B128" s="7" t="s">
        <v>153</v>
      </c>
      <c r="C128" s="26" t="s">
        <v>154</v>
      </c>
      <c r="D128" s="25" t="s">
        <v>155</v>
      </c>
      <c r="E128" s="66">
        <v>1</v>
      </c>
      <c r="F128" s="53">
        <f>537.6*1.50943396226415</f>
        <v>811.47169811320703</v>
      </c>
      <c r="G128" s="66">
        <f t="shared" si="8"/>
        <v>811.47169811320703</v>
      </c>
      <c r="H128" s="238">
        <f t="shared" si="10"/>
        <v>811.47169811320703</v>
      </c>
      <c r="I128" s="25"/>
      <c r="J128" s="52">
        <f>537.6*1.50943396226415</f>
        <v>811.47169811320703</v>
      </c>
      <c r="K128" s="240">
        <f>+J128*E128</f>
        <v>811.47169811320703</v>
      </c>
      <c r="L128" s="219"/>
      <c r="M128" s="245" t="s">
        <v>87</v>
      </c>
    </row>
    <row r="129" spans="1:13">
      <c r="A129" s="218">
        <v>1.1000000000000001</v>
      </c>
      <c r="B129" s="7" t="s">
        <v>153</v>
      </c>
      <c r="C129" s="29" t="s">
        <v>154</v>
      </c>
      <c r="D129" s="32" t="s">
        <v>155</v>
      </c>
      <c r="E129" s="229">
        <v>1</v>
      </c>
      <c r="F129" s="73">
        <f>537.6*8000/5300</f>
        <v>811.47169811320759</v>
      </c>
      <c r="G129" s="229">
        <f t="shared" si="8"/>
        <v>811.47169811320759</v>
      </c>
      <c r="H129" s="238">
        <f t="shared" si="10"/>
        <v>811.47169811320759</v>
      </c>
      <c r="I129" s="25"/>
      <c r="J129" s="86">
        <f>537.6*8000/5300</f>
        <v>811.47169811320759</v>
      </c>
      <c r="K129" s="229">
        <f>J129*I129</f>
        <v>0</v>
      </c>
      <c r="L129" s="52">
        <f>+J129*E129</f>
        <v>811.47169811320759</v>
      </c>
      <c r="M129" s="245" t="s">
        <v>17</v>
      </c>
    </row>
    <row r="130" spans="1:13">
      <c r="A130" s="282">
        <v>6</v>
      </c>
      <c r="B130" s="39" t="s">
        <v>156</v>
      </c>
      <c r="C130" s="6" t="s">
        <v>157</v>
      </c>
      <c r="D130" s="25"/>
      <c r="E130" s="66"/>
      <c r="F130" s="25"/>
      <c r="G130" s="25">
        <f t="shared" si="8"/>
        <v>0</v>
      </c>
      <c r="H130" s="238"/>
      <c r="I130" s="25"/>
      <c r="J130" s="52"/>
      <c r="K130" s="240"/>
      <c r="L130" s="219"/>
      <c r="M130" s="245" t="s">
        <v>89</v>
      </c>
    </row>
    <row r="131" spans="1:13">
      <c r="A131" s="151">
        <v>6</v>
      </c>
      <c r="B131" s="39" t="s">
        <v>156</v>
      </c>
      <c r="C131" s="6" t="s">
        <v>157</v>
      </c>
      <c r="D131" s="25"/>
      <c r="E131" s="66"/>
      <c r="F131" s="25"/>
      <c r="G131" s="25">
        <f t="shared" si="8"/>
        <v>0</v>
      </c>
      <c r="H131" s="238"/>
      <c r="I131" s="25"/>
      <c r="J131" s="240"/>
      <c r="K131" s="25">
        <f>J131*I131</f>
        <v>0</v>
      </c>
      <c r="L131" s="240"/>
      <c r="M131" s="245" t="s">
        <v>117</v>
      </c>
    </row>
    <row r="132" spans="1:13">
      <c r="A132" s="282">
        <v>6</v>
      </c>
      <c r="B132" s="39" t="s">
        <v>156</v>
      </c>
      <c r="C132" s="6" t="s">
        <v>157</v>
      </c>
      <c r="D132" s="25"/>
      <c r="E132" s="25"/>
      <c r="F132" s="25"/>
      <c r="G132" s="25">
        <f t="shared" si="8"/>
        <v>0</v>
      </c>
      <c r="H132" s="238">
        <f>+F132*E132</f>
        <v>0</v>
      </c>
      <c r="I132" s="25"/>
      <c r="J132" s="52"/>
      <c r="K132" s="25">
        <f>J132*I132</f>
        <v>0</v>
      </c>
      <c r="L132" s="240"/>
      <c r="M132" s="245" t="s">
        <v>118</v>
      </c>
    </row>
    <row r="133" spans="1:13">
      <c r="A133" s="151">
        <v>6</v>
      </c>
      <c r="B133" s="39" t="s">
        <v>156</v>
      </c>
      <c r="C133" s="6" t="s">
        <v>157</v>
      </c>
      <c r="D133" s="25"/>
      <c r="E133" s="66"/>
      <c r="F133" s="233"/>
      <c r="G133" s="25">
        <f t="shared" si="8"/>
        <v>0</v>
      </c>
      <c r="H133" s="238">
        <f>+F133*E133</f>
        <v>0</v>
      </c>
      <c r="I133" s="25"/>
      <c r="J133" s="84"/>
      <c r="K133" s="52"/>
      <c r="L133" s="219"/>
      <c r="M133" s="245" t="s">
        <v>23</v>
      </c>
    </row>
    <row r="134" spans="1:13">
      <c r="A134" s="151">
        <v>6</v>
      </c>
      <c r="B134" s="39" t="s">
        <v>156</v>
      </c>
      <c r="C134" s="44" t="s">
        <v>157</v>
      </c>
      <c r="D134" s="27"/>
      <c r="E134" s="42"/>
      <c r="F134" s="32"/>
      <c r="G134" s="32">
        <f t="shared" si="8"/>
        <v>0</v>
      </c>
      <c r="H134" s="37"/>
      <c r="I134" s="27"/>
      <c r="J134" s="37"/>
      <c r="K134" s="27">
        <f>J134*I134</f>
        <v>0</v>
      </c>
      <c r="L134" s="41">
        <f>+J134*E134</f>
        <v>0</v>
      </c>
      <c r="M134" s="245" t="s">
        <v>30</v>
      </c>
    </row>
    <row r="135" spans="1:13">
      <c r="A135" s="151">
        <v>6</v>
      </c>
      <c r="B135" s="39" t="s">
        <v>156</v>
      </c>
      <c r="C135" s="6" t="s">
        <v>157</v>
      </c>
      <c r="D135" s="25"/>
      <c r="E135" s="66"/>
      <c r="F135" s="53"/>
      <c r="G135" s="66">
        <f t="shared" si="8"/>
        <v>0</v>
      </c>
      <c r="H135" s="238">
        <f>+F135*E135</f>
        <v>0</v>
      </c>
      <c r="I135" s="25"/>
      <c r="J135" s="52"/>
      <c r="K135" s="240"/>
      <c r="L135" s="219"/>
      <c r="M135" s="245" t="s">
        <v>87</v>
      </c>
    </row>
    <row r="136" spans="1:13">
      <c r="A136" s="151">
        <v>6</v>
      </c>
      <c r="B136" s="39" t="s">
        <v>156</v>
      </c>
      <c r="C136" s="34" t="s">
        <v>157</v>
      </c>
      <c r="D136" s="32"/>
      <c r="E136" s="229"/>
      <c r="F136" s="73"/>
      <c r="G136" s="229"/>
      <c r="H136" s="238"/>
      <c r="I136" s="25"/>
      <c r="J136" s="86"/>
      <c r="K136" s="229"/>
      <c r="L136" s="52"/>
      <c r="M136" s="245" t="s">
        <v>17</v>
      </c>
    </row>
    <row r="137" spans="1:13">
      <c r="A137" s="35">
        <v>6.1</v>
      </c>
      <c r="B137" s="7" t="s">
        <v>158</v>
      </c>
      <c r="C137" s="26" t="s">
        <v>159</v>
      </c>
      <c r="D137" s="25" t="s">
        <v>147</v>
      </c>
      <c r="E137" s="66">
        <v>1</v>
      </c>
      <c r="F137" s="66">
        <f>34.125*1.50943396226415</f>
        <v>51.509433962264119</v>
      </c>
      <c r="G137" s="66">
        <f t="shared" ref="G137:G167" si="11">F137*E137</f>
        <v>51.509433962264119</v>
      </c>
      <c r="H137" s="239">
        <f t="shared" ref="H137:H145" si="12">+F137*E137</f>
        <v>51.509433962264119</v>
      </c>
      <c r="I137" s="85"/>
      <c r="J137" s="240">
        <f>34.125*1.50943396226415</f>
        <v>51.509433962264119</v>
      </c>
      <c r="K137" s="240">
        <f>E137*J137</f>
        <v>51.509433962264119</v>
      </c>
      <c r="L137" s="219"/>
      <c r="M137" s="245" t="s">
        <v>20</v>
      </c>
    </row>
    <row r="138" spans="1:13">
      <c r="A138" s="35">
        <v>6.1</v>
      </c>
      <c r="B138" s="7" t="s">
        <v>158</v>
      </c>
      <c r="C138" s="26" t="s">
        <v>159</v>
      </c>
      <c r="D138" s="25" t="s">
        <v>147</v>
      </c>
      <c r="E138" s="66">
        <v>1</v>
      </c>
      <c r="F138" s="25">
        <f>32.5*8000/5300</f>
        <v>49.056603773584904</v>
      </c>
      <c r="G138" s="25">
        <f t="shared" si="11"/>
        <v>49.056603773584904</v>
      </c>
      <c r="H138" s="238">
        <f t="shared" si="12"/>
        <v>49.056603773584904</v>
      </c>
      <c r="I138" s="25"/>
      <c r="J138" s="52">
        <f>32.5*8000/5300</f>
        <v>49.056603773584904</v>
      </c>
      <c r="K138" s="240">
        <f>J138*E138</f>
        <v>49.056603773584904</v>
      </c>
      <c r="L138" s="219"/>
      <c r="M138" s="245" t="s">
        <v>89</v>
      </c>
    </row>
    <row r="139" spans="1:13">
      <c r="A139" s="218">
        <v>6.1</v>
      </c>
      <c r="B139" s="7" t="s">
        <v>158</v>
      </c>
      <c r="C139" s="26" t="s">
        <v>159</v>
      </c>
      <c r="D139" s="25" t="s">
        <v>147</v>
      </c>
      <c r="E139" s="66">
        <v>1</v>
      </c>
      <c r="F139" s="25">
        <f>32.5*8000/5300</f>
        <v>49.056603773584904</v>
      </c>
      <c r="G139" s="25">
        <f t="shared" si="11"/>
        <v>49.056603773584904</v>
      </c>
      <c r="H139" s="238">
        <f t="shared" si="12"/>
        <v>49.056603773584904</v>
      </c>
      <c r="I139" s="25"/>
      <c r="J139" s="240">
        <f>32.5*8000/5300</f>
        <v>49.056603773584904</v>
      </c>
      <c r="K139" s="25">
        <f>J139*I139</f>
        <v>0</v>
      </c>
      <c r="L139" s="240">
        <f>+J139*E139</f>
        <v>49.056603773584904</v>
      </c>
      <c r="M139" s="245" t="s">
        <v>117</v>
      </c>
    </row>
    <row r="140" spans="1:13">
      <c r="A140" s="35">
        <v>6.1</v>
      </c>
      <c r="B140" s="7" t="s">
        <v>158</v>
      </c>
      <c r="C140" s="26" t="s">
        <v>159</v>
      </c>
      <c r="D140" s="25" t="s">
        <v>147</v>
      </c>
      <c r="E140" s="25">
        <v>1</v>
      </c>
      <c r="F140" s="25">
        <f>32.5*8000/5300</f>
        <v>49.056603773584904</v>
      </c>
      <c r="G140" s="25">
        <f t="shared" si="11"/>
        <v>49.056603773584904</v>
      </c>
      <c r="H140" s="238">
        <f t="shared" si="12"/>
        <v>49.056603773584904</v>
      </c>
      <c r="I140" s="25"/>
      <c r="J140" s="52">
        <f>32.5*8000/5300</f>
        <v>49.056603773584904</v>
      </c>
      <c r="K140" s="25">
        <f>J140*I140</f>
        <v>0</v>
      </c>
      <c r="L140" s="240">
        <f>+J140*E140</f>
        <v>49.056603773584904</v>
      </c>
      <c r="M140" s="245" t="s">
        <v>118</v>
      </c>
    </row>
    <row r="141" spans="1:13">
      <c r="A141" s="218">
        <v>6.1</v>
      </c>
      <c r="B141" s="7" t="s">
        <v>158</v>
      </c>
      <c r="C141" s="26" t="s">
        <v>159</v>
      </c>
      <c r="D141" s="25" t="s">
        <v>147</v>
      </c>
      <c r="E141" s="66">
        <v>1</v>
      </c>
      <c r="F141" s="233">
        <f>32.5*8000/5300</f>
        <v>49.056603773584904</v>
      </c>
      <c r="G141" s="25">
        <f t="shared" si="11"/>
        <v>49.056603773584904</v>
      </c>
      <c r="H141" s="238">
        <f t="shared" si="12"/>
        <v>49.056603773584904</v>
      </c>
      <c r="I141" s="25"/>
      <c r="J141" s="84">
        <f>32.5*8000/5300</f>
        <v>49.056603773584904</v>
      </c>
      <c r="K141" s="52">
        <f>+J141*E141</f>
        <v>49.056603773584904</v>
      </c>
      <c r="L141" s="219"/>
      <c r="M141" s="245" t="s">
        <v>23</v>
      </c>
    </row>
    <row r="142" spans="1:13">
      <c r="A142" s="218">
        <v>6.1</v>
      </c>
      <c r="B142" s="7" t="s">
        <v>158</v>
      </c>
      <c r="C142" s="26" t="s">
        <v>159</v>
      </c>
      <c r="D142" s="25" t="s">
        <v>147</v>
      </c>
      <c r="E142" s="66">
        <v>1</v>
      </c>
      <c r="F142" s="53">
        <f>34.125*1.50943396226415</f>
        <v>51.509433962264119</v>
      </c>
      <c r="G142" s="66">
        <f t="shared" si="11"/>
        <v>51.509433962264119</v>
      </c>
      <c r="H142" s="238">
        <f t="shared" si="12"/>
        <v>51.509433962264119</v>
      </c>
      <c r="I142" s="25"/>
      <c r="J142" s="52">
        <f>34.125*1.50943396226415</f>
        <v>51.509433962264119</v>
      </c>
      <c r="K142" s="240">
        <f>+J142*E142</f>
        <v>51.509433962264119</v>
      </c>
      <c r="L142" s="219"/>
      <c r="M142" s="245" t="s">
        <v>87</v>
      </c>
    </row>
    <row r="143" spans="1:13">
      <c r="A143" s="218">
        <v>6.1</v>
      </c>
      <c r="B143" s="7" t="s">
        <v>158</v>
      </c>
      <c r="C143" s="43" t="s">
        <v>160</v>
      </c>
      <c r="D143" s="27" t="s">
        <v>147</v>
      </c>
      <c r="E143" s="42">
        <v>1</v>
      </c>
      <c r="F143" s="32">
        <f>94.125*1.50943396226415</f>
        <v>142.07547169811312</v>
      </c>
      <c r="G143" s="32">
        <f t="shared" si="11"/>
        <v>142.07547169811312</v>
      </c>
      <c r="H143" s="37">
        <f t="shared" si="12"/>
        <v>142.07547169811312</v>
      </c>
      <c r="I143" s="27"/>
      <c r="J143" s="37">
        <f>94.125*1.50943396226415</f>
        <v>142.07547169811312</v>
      </c>
      <c r="K143" s="27">
        <f>J143*I143</f>
        <v>0</v>
      </c>
      <c r="L143" s="41">
        <f>+J143*E143</f>
        <v>142.07547169811312</v>
      </c>
      <c r="M143" s="245" t="s">
        <v>30</v>
      </c>
    </row>
    <row r="144" spans="1:13">
      <c r="A144" s="218">
        <v>6.1</v>
      </c>
      <c r="B144" s="7" t="s">
        <v>158</v>
      </c>
      <c r="C144" s="29" t="s">
        <v>160</v>
      </c>
      <c r="D144" s="32" t="s">
        <v>147</v>
      </c>
      <c r="E144" s="229">
        <v>1</v>
      </c>
      <c r="F144" s="73">
        <f>94.125*1.50943396226415</f>
        <v>142.07547169811312</v>
      </c>
      <c r="G144" s="229">
        <f t="shared" si="11"/>
        <v>142.07547169811312</v>
      </c>
      <c r="H144" s="238">
        <f t="shared" si="12"/>
        <v>142.07547169811312</v>
      </c>
      <c r="I144" s="25"/>
      <c r="J144" s="86">
        <f>94.125*1.50943396226415</f>
        <v>142.07547169811312</v>
      </c>
      <c r="K144" s="229">
        <f>J144*I144</f>
        <v>0</v>
      </c>
      <c r="L144" s="52">
        <f>+J144*E144</f>
        <v>142.07547169811312</v>
      </c>
      <c r="M144" s="245" t="s">
        <v>17</v>
      </c>
    </row>
    <row r="145" spans="1:13">
      <c r="A145" s="282">
        <v>4</v>
      </c>
      <c r="B145" s="39" t="s">
        <v>161</v>
      </c>
      <c r="C145" s="6" t="s">
        <v>162</v>
      </c>
      <c r="D145" s="25"/>
      <c r="E145" s="66"/>
      <c r="F145" s="66">
        <v>0</v>
      </c>
      <c r="G145" s="66">
        <f t="shared" si="11"/>
        <v>0</v>
      </c>
      <c r="H145" s="239">
        <f t="shared" si="12"/>
        <v>0</v>
      </c>
      <c r="I145" s="85"/>
      <c r="J145" s="240"/>
      <c r="K145" s="240"/>
      <c r="L145" s="219"/>
      <c r="M145" s="245" t="s">
        <v>20</v>
      </c>
    </row>
    <row r="146" spans="1:13">
      <c r="A146" s="282">
        <v>4</v>
      </c>
      <c r="B146" s="39" t="s">
        <v>161</v>
      </c>
      <c r="C146" s="6" t="s">
        <v>162</v>
      </c>
      <c r="D146" s="25"/>
      <c r="E146" s="66"/>
      <c r="F146" s="25"/>
      <c r="G146" s="25">
        <f t="shared" si="11"/>
        <v>0</v>
      </c>
      <c r="H146" s="238"/>
      <c r="I146" s="25"/>
      <c r="J146" s="52"/>
      <c r="K146" s="240"/>
      <c r="L146" s="219"/>
      <c r="M146" s="245" t="s">
        <v>89</v>
      </c>
    </row>
    <row r="147" spans="1:13">
      <c r="A147" s="151">
        <v>4</v>
      </c>
      <c r="B147" s="39" t="s">
        <v>161</v>
      </c>
      <c r="C147" s="6" t="s">
        <v>162</v>
      </c>
      <c r="D147" s="25"/>
      <c r="E147" s="66"/>
      <c r="F147" s="25"/>
      <c r="G147" s="25">
        <f t="shared" si="11"/>
        <v>0</v>
      </c>
      <c r="H147" s="238"/>
      <c r="I147" s="25"/>
      <c r="J147" s="240"/>
      <c r="K147" s="25">
        <f>J147*I147</f>
        <v>0</v>
      </c>
      <c r="L147" s="240"/>
      <c r="M147" s="245" t="s">
        <v>117</v>
      </c>
    </row>
    <row r="148" spans="1:13">
      <c r="A148" s="282">
        <v>4</v>
      </c>
      <c r="B148" s="39" t="s">
        <v>161</v>
      </c>
      <c r="C148" s="6" t="s">
        <v>162</v>
      </c>
      <c r="D148" s="25"/>
      <c r="E148" s="25"/>
      <c r="F148" s="25"/>
      <c r="G148" s="25">
        <f t="shared" si="11"/>
        <v>0</v>
      </c>
      <c r="H148" s="238">
        <f>+F148*E148</f>
        <v>0</v>
      </c>
      <c r="I148" s="25"/>
      <c r="J148" s="52"/>
      <c r="K148" s="25">
        <f>J148*I148</f>
        <v>0</v>
      </c>
      <c r="L148" s="240"/>
      <c r="M148" s="245" t="s">
        <v>118</v>
      </c>
    </row>
    <row r="149" spans="1:13">
      <c r="A149" s="151">
        <v>4</v>
      </c>
      <c r="B149" s="39" t="s">
        <v>161</v>
      </c>
      <c r="C149" s="6" t="s">
        <v>162</v>
      </c>
      <c r="D149" s="25"/>
      <c r="E149" s="66"/>
      <c r="F149" s="233"/>
      <c r="G149" s="25">
        <f t="shared" si="11"/>
        <v>0</v>
      </c>
      <c r="H149" s="238">
        <f>+F149*E149</f>
        <v>0</v>
      </c>
      <c r="I149" s="25"/>
      <c r="J149" s="84"/>
      <c r="K149" s="52"/>
      <c r="L149" s="219"/>
      <c r="M149" s="245" t="s">
        <v>23</v>
      </c>
    </row>
    <row r="150" spans="1:13">
      <c r="A150" s="218">
        <v>4</v>
      </c>
      <c r="B150" s="39" t="s">
        <v>161</v>
      </c>
      <c r="C150" s="44" t="s">
        <v>162</v>
      </c>
      <c r="D150" s="27"/>
      <c r="E150" s="42"/>
      <c r="F150" s="32">
        <v>0</v>
      </c>
      <c r="G150" s="32">
        <f t="shared" si="11"/>
        <v>0</v>
      </c>
      <c r="H150" s="37">
        <f>+F150*E150</f>
        <v>0</v>
      </c>
      <c r="I150" s="27"/>
      <c r="J150" s="37"/>
      <c r="K150" s="27"/>
      <c r="L150" s="41"/>
      <c r="M150" s="245" t="s">
        <v>30</v>
      </c>
    </row>
    <row r="151" spans="1:13">
      <c r="A151" s="151">
        <v>4</v>
      </c>
      <c r="B151" s="39" t="s">
        <v>161</v>
      </c>
      <c r="C151" s="6" t="s">
        <v>162</v>
      </c>
      <c r="D151" s="25"/>
      <c r="E151" s="66"/>
      <c r="F151" s="53"/>
      <c r="G151" s="66">
        <f t="shared" si="11"/>
        <v>0</v>
      </c>
      <c r="H151" s="238"/>
      <c r="I151" s="25"/>
      <c r="J151" s="52"/>
      <c r="K151" s="240"/>
      <c r="L151" s="219"/>
      <c r="M151" s="245" t="s">
        <v>87</v>
      </c>
    </row>
    <row r="152" spans="1:13">
      <c r="A152" s="151">
        <v>4</v>
      </c>
      <c r="B152" s="39" t="s">
        <v>161</v>
      </c>
      <c r="C152" s="34" t="s">
        <v>162</v>
      </c>
      <c r="D152" s="32"/>
      <c r="E152" s="229"/>
      <c r="F152" s="73">
        <v>0</v>
      </c>
      <c r="G152" s="229">
        <f t="shared" si="11"/>
        <v>0</v>
      </c>
      <c r="H152" s="238">
        <f t="shared" ref="H152:H161" si="13">+F152*E152</f>
        <v>0</v>
      </c>
      <c r="I152" s="25"/>
      <c r="J152" s="86"/>
      <c r="K152" s="229"/>
      <c r="L152" s="52"/>
      <c r="M152" s="245" t="s">
        <v>17</v>
      </c>
    </row>
    <row r="153" spans="1:13" ht="27.6">
      <c r="A153" s="35">
        <v>4.0999999999999996</v>
      </c>
      <c r="B153" s="7" t="s">
        <v>163</v>
      </c>
      <c r="C153" s="26" t="s">
        <v>164</v>
      </c>
      <c r="D153" s="25" t="s">
        <v>147</v>
      </c>
      <c r="E153" s="66">
        <v>15</v>
      </c>
      <c r="F153" s="25">
        <f>10.9*8000/5300</f>
        <v>16.452830188679247</v>
      </c>
      <c r="G153" s="25">
        <f t="shared" si="11"/>
        <v>246.79245283018869</v>
      </c>
      <c r="H153" s="238">
        <f t="shared" si="13"/>
        <v>246.79245283018869</v>
      </c>
      <c r="I153" s="25"/>
      <c r="J153" s="52">
        <f>10.9*8000/5300</f>
        <v>16.452830188679247</v>
      </c>
      <c r="K153" s="240">
        <f>J153*E153</f>
        <v>246.79245283018869</v>
      </c>
      <c r="L153" s="219"/>
      <c r="M153" s="245" t="s">
        <v>89</v>
      </c>
    </row>
    <row r="154" spans="1:13" ht="27.6">
      <c r="A154" s="218">
        <v>4.0999999999999996</v>
      </c>
      <c r="B154" s="7" t="s">
        <v>163</v>
      </c>
      <c r="C154" s="26" t="s">
        <v>164</v>
      </c>
      <c r="D154" s="25" t="s">
        <v>147</v>
      </c>
      <c r="E154" s="66">
        <v>12</v>
      </c>
      <c r="F154" s="233">
        <f>10.9*8000/5300</f>
        <v>16.452830188679247</v>
      </c>
      <c r="G154" s="25">
        <f t="shared" si="11"/>
        <v>197.43396226415098</v>
      </c>
      <c r="H154" s="238">
        <f t="shared" si="13"/>
        <v>197.43396226415098</v>
      </c>
      <c r="I154" s="25"/>
      <c r="J154" s="84">
        <f>10.9*8000/5300</f>
        <v>16.452830188679247</v>
      </c>
      <c r="K154" s="52">
        <f>+J154*E154</f>
        <v>197.43396226415098</v>
      </c>
      <c r="L154" s="219"/>
      <c r="M154" s="245" t="s">
        <v>23</v>
      </c>
    </row>
    <row r="155" spans="1:13">
      <c r="A155" s="35">
        <v>4.0999999999999996</v>
      </c>
      <c r="B155" s="7" t="s">
        <v>163</v>
      </c>
      <c r="C155" s="26" t="s">
        <v>165</v>
      </c>
      <c r="D155" s="25" t="s">
        <v>147</v>
      </c>
      <c r="E155" s="66">
        <v>36</v>
      </c>
      <c r="F155" s="66">
        <f>11.445*1.50943396226415</f>
        <v>17.275471698113197</v>
      </c>
      <c r="G155" s="66">
        <f t="shared" si="11"/>
        <v>621.91698113207508</v>
      </c>
      <c r="H155" s="239">
        <f t="shared" si="13"/>
        <v>621.91698113207508</v>
      </c>
      <c r="I155" s="85"/>
      <c r="J155" s="240">
        <f>11.445*1.50943396226415</f>
        <v>17.275471698113197</v>
      </c>
      <c r="K155" s="240">
        <f>E155*J155</f>
        <v>621.91698113207508</v>
      </c>
      <c r="L155" s="219"/>
      <c r="M155" s="245" t="s">
        <v>20</v>
      </c>
    </row>
    <row r="156" spans="1:13">
      <c r="A156" s="35">
        <v>4.0999999999999996</v>
      </c>
      <c r="B156" s="7" t="s">
        <v>163</v>
      </c>
      <c r="C156" s="26" t="s">
        <v>165</v>
      </c>
      <c r="D156" s="25" t="s">
        <v>147</v>
      </c>
      <c r="E156" s="25">
        <v>36</v>
      </c>
      <c r="F156" s="25">
        <f>10.9*8000/5300</f>
        <v>16.452830188679247</v>
      </c>
      <c r="G156" s="25">
        <f t="shared" si="11"/>
        <v>592.30188679245293</v>
      </c>
      <c r="H156" s="238">
        <f t="shared" si="13"/>
        <v>592.30188679245293</v>
      </c>
      <c r="I156" s="25"/>
      <c r="J156" s="52">
        <f>10.9*8000/5300</f>
        <v>16.452830188679247</v>
      </c>
      <c r="K156" s="25">
        <f>J156*I156</f>
        <v>0</v>
      </c>
      <c r="L156" s="240">
        <f>+J156*E156</f>
        <v>592.30188679245293</v>
      </c>
      <c r="M156" s="245" t="s">
        <v>118</v>
      </c>
    </row>
    <row r="157" spans="1:13" ht="27.6">
      <c r="A157" s="218">
        <v>4.0999999999999996</v>
      </c>
      <c r="B157" s="7" t="s">
        <v>163</v>
      </c>
      <c r="C157" s="155" t="s">
        <v>166</v>
      </c>
      <c r="D157" s="27" t="s">
        <v>147</v>
      </c>
      <c r="E157" s="70">
        <v>38</v>
      </c>
      <c r="F157" s="27">
        <f>11.445*1.50943396226415</f>
        <v>17.275471698113197</v>
      </c>
      <c r="G157" s="27">
        <f t="shared" si="11"/>
        <v>656.46792452830152</v>
      </c>
      <c r="H157" s="37">
        <f t="shared" si="13"/>
        <v>656.46792452830152</v>
      </c>
      <c r="I157" s="27"/>
      <c r="J157" s="37">
        <f>11.445*1.50943396226415</f>
        <v>17.275471698113197</v>
      </c>
      <c r="K157" s="27">
        <f>J157*I157</f>
        <v>0</v>
      </c>
      <c r="L157" s="41">
        <f>+J157*E157</f>
        <v>656.46792452830152</v>
      </c>
      <c r="M157" s="245" t="s">
        <v>30</v>
      </c>
    </row>
    <row r="158" spans="1:13" ht="27.6">
      <c r="A158" s="218">
        <v>4.0999999999999996</v>
      </c>
      <c r="B158" s="7" t="s">
        <v>163</v>
      </c>
      <c r="C158" s="26" t="s">
        <v>167</v>
      </c>
      <c r="D158" s="25" t="s">
        <v>147</v>
      </c>
      <c r="E158" s="66">
        <v>36</v>
      </c>
      <c r="F158" s="53">
        <f>11.445*1.50943396226415</f>
        <v>17.275471698113197</v>
      </c>
      <c r="G158" s="66">
        <f t="shared" si="11"/>
        <v>621.91698113207508</v>
      </c>
      <c r="H158" s="238">
        <f t="shared" si="13"/>
        <v>621.91698113207508</v>
      </c>
      <c r="I158" s="25"/>
      <c r="J158" s="52">
        <f>11.445*1.50943396226415</f>
        <v>17.275471698113197</v>
      </c>
      <c r="K158" s="240">
        <f>+J158*E158</f>
        <v>621.91698113207508</v>
      </c>
      <c r="L158" s="219"/>
      <c r="M158" s="245" t="s">
        <v>87</v>
      </c>
    </row>
    <row r="159" spans="1:13" ht="28.15">
      <c r="A159" s="218">
        <v>4.0999999999999996</v>
      </c>
      <c r="B159" s="7" t="s">
        <v>163</v>
      </c>
      <c r="C159" s="29" t="s">
        <v>168</v>
      </c>
      <c r="D159" s="32" t="s">
        <v>147</v>
      </c>
      <c r="E159" s="66">
        <v>36</v>
      </c>
      <c r="F159" s="53">
        <f>42*1.50943396226415</f>
        <v>63.396226415094297</v>
      </c>
      <c r="G159" s="66">
        <f t="shared" si="11"/>
        <v>2282.2641509433947</v>
      </c>
      <c r="H159" s="238">
        <f t="shared" si="13"/>
        <v>2282.2641509433947</v>
      </c>
      <c r="I159" s="25"/>
      <c r="J159" s="128">
        <f>42*1.50943396226415</f>
        <v>63.396226415094297</v>
      </c>
      <c r="K159" s="66">
        <f>J159*I159</f>
        <v>0</v>
      </c>
      <c r="L159" s="52">
        <f>+J159*E159</f>
        <v>2282.2641509433947</v>
      </c>
      <c r="M159" s="245" t="s">
        <v>17</v>
      </c>
    </row>
    <row r="160" spans="1:13">
      <c r="A160" s="218">
        <v>4.0999999999999996</v>
      </c>
      <c r="B160" s="7" t="s">
        <v>163</v>
      </c>
      <c r="C160" s="26" t="s">
        <v>169</v>
      </c>
      <c r="D160" s="25" t="s">
        <v>147</v>
      </c>
      <c r="E160" s="66">
        <v>5</v>
      </c>
      <c r="F160" s="25">
        <f>10.9*8000/5300</f>
        <v>16.452830188679247</v>
      </c>
      <c r="G160" s="25">
        <f t="shared" si="11"/>
        <v>82.264150943396231</v>
      </c>
      <c r="H160" s="238">
        <f t="shared" si="13"/>
        <v>82.264150943396231</v>
      </c>
      <c r="I160" s="25"/>
      <c r="J160" s="240">
        <f>10.9*8000/5300</f>
        <v>16.452830188679247</v>
      </c>
      <c r="K160" s="25">
        <f>J160*I160</f>
        <v>0</v>
      </c>
      <c r="L160" s="240">
        <f>+J160*E160</f>
        <v>82.264150943396231</v>
      </c>
      <c r="M160" s="245" t="s">
        <v>117</v>
      </c>
    </row>
    <row r="161" spans="1:13">
      <c r="A161" s="282">
        <v>5</v>
      </c>
      <c r="B161" s="39" t="s">
        <v>170</v>
      </c>
      <c r="C161" s="6" t="s">
        <v>171</v>
      </c>
      <c r="D161" s="25"/>
      <c r="E161" s="66"/>
      <c r="F161" s="66">
        <v>0</v>
      </c>
      <c r="G161" s="66">
        <f t="shared" si="11"/>
        <v>0</v>
      </c>
      <c r="H161" s="239">
        <f t="shared" si="13"/>
        <v>0</v>
      </c>
      <c r="I161" s="85"/>
      <c r="J161" s="240"/>
      <c r="K161" s="240"/>
      <c r="L161" s="219"/>
      <c r="M161" s="245" t="s">
        <v>20</v>
      </c>
    </row>
    <row r="162" spans="1:13">
      <c r="A162" s="282">
        <v>5</v>
      </c>
      <c r="B162" s="39" t="s">
        <v>170</v>
      </c>
      <c r="C162" s="6" t="s">
        <v>171</v>
      </c>
      <c r="D162" s="25"/>
      <c r="E162" s="66"/>
      <c r="F162" s="25"/>
      <c r="G162" s="25">
        <f t="shared" si="11"/>
        <v>0</v>
      </c>
      <c r="H162" s="238"/>
      <c r="I162" s="25"/>
      <c r="J162" s="52"/>
      <c r="K162" s="240"/>
      <c r="L162" s="219"/>
      <c r="M162" s="245" t="s">
        <v>89</v>
      </c>
    </row>
    <row r="163" spans="1:13">
      <c r="A163" s="151">
        <v>5</v>
      </c>
      <c r="B163" s="39" t="s">
        <v>170</v>
      </c>
      <c r="C163" s="6" t="s">
        <v>171</v>
      </c>
      <c r="D163" s="25"/>
      <c r="E163" s="66"/>
      <c r="F163" s="25"/>
      <c r="G163" s="25">
        <f t="shared" si="11"/>
        <v>0</v>
      </c>
      <c r="H163" s="238">
        <f>+F163*E163</f>
        <v>0</v>
      </c>
      <c r="I163" s="25"/>
      <c r="J163" s="240"/>
      <c r="K163" s="25">
        <f>J163*I163</f>
        <v>0</v>
      </c>
      <c r="L163" s="240"/>
      <c r="M163" s="245" t="s">
        <v>117</v>
      </c>
    </row>
    <row r="164" spans="1:13">
      <c r="A164" s="282">
        <v>5</v>
      </c>
      <c r="B164" s="39" t="s">
        <v>170</v>
      </c>
      <c r="C164" s="6" t="s">
        <v>171</v>
      </c>
      <c r="D164" s="25"/>
      <c r="E164" s="25"/>
      <c r="F164" s="25"/>
      <c r="G164" s="25">
        <f t="shared" si="11"/>
        <v>0</v>
      </c>
      <c r="H164" s="238"/>
      <c r="I164" s="25"/>
      <c r="J164" s="52"/>
      <c r="K164" s="25">
        <f>J164*I164</f>
        <v>0</v>
      </c>
      <c r="L164" s="240"/>
      <c r="M164" s="245" t="s">
        <v>118</v>
      </c>
    </row>
    <row r="165" spans="1:13">
      <c r="A165" s="151">
        <v>5</v>
      </c>
      <c r="B165" s="39" t="s">
        <v>170</v>
      </c>
      <c r="C165" s="6" t="s">
        <v>171</v>
      </c>
      <c r="D165" s="25"/>
      <c r="E165" s="66"/>
      <c r="F165" s="233"/>
      <c r="G165" s="25">
        <f t="shared" si="11"/>
        <v>0</v>
      </c>
      <c r="H165" s="238">
        <f>+F165*E165</f>
        <v>0</v>
      </c>
      <c r="I165" s="25"/>
      <c r="J165" s="84"/>
      <c r="K165" s="52"/>
      <c r="L165" s="219"/>
      <c r="M165" s="245" t="s">
        <v>23</v>
      </c>
    </row>
    <row r="166" spans="1:13">
      <c r="A166" s="218">
        <v>5</v>
      </c>
      <c r="B166" s="39" t="s">
        <v>170</v>
      </c>
      <c r="C166" s="44" t="s">
        <v>171</v>
      </c>
      <c r="D166" s="27"/>
      <c r="E166" s="42"/>
      <c r="F166" s="32"/>
      <c r="G166" s="32">
        <f t="shared" si="11"/>
        <v>0</v>
      </c>
      <c r="H166" s="37">
        <f>+F166*E166</f>
        <v>0</v>
      </c>
      <c r="I166" s="27"/>
      <c r="J166" s="37"/>
      <c r="K166" s="27"/>
      <c r="L166" s="41"/>
      <c r="M166" s="245" t="s">
        <v>30</v>
      </c>
    </row>
    <row r="167" spans="1:13">
      <c r="A167" s="151">
        <v>5</v>
      </c>
      <c r="B167" s="39" t="s">
        <v>170</v>
      </c>
      <c r="C167" s="6" t="s">
        <v>171</v>
      </c>
      <c r="D167" s="25"/>
      <c r="E167" s="66"/>
      <c r="F167" s="53"/>
      <c r="G167" s="66">
        <f t="shared" si="11"/>
        <v>0</v>
      </c>
      <c r="H167" s="238">
        <f>+F167*E167</f>
        <v>0</v>
      </c>
      <c r="I167" s="25"/>
      <c r="J167" s="52"/>
      <c r="K167" s="240"/>
      <c r="L167" s="219"/>
      <c r="M167" s="245" t="s">
        <v>87</v>
      </c>
    </row>
    <row r="168" spans="1:13">
      <c r="A168" s="151">
        <v>5</v>
      </c>
      <c r="B168" s="39" t="s">
        <v>170</v>
      </c>
      <c r="C168" s="34" t="s">
        <v>171</v>
      </c>
      <c r="D168" s="32"/>
      <c r="E168" s="229"/>
      <c r="F168" s="73"/>
      <c r="G168" s="229"/>
      <c r="H168" s="238"/>
      <c r="I168" s="25"/>
      <c r="J168" s="86"/>
      <c r="K168" s="229"/>
      <c r="L168" s="52"/>
      <c r="M168" s="245" t="s">
        <v>17</v>
      </c>
    </row>
    <row r="169" spans="1:13">
      <c r="A169" s="35" t="s">
        <v>172</v>
      </c>
      <c r="B169" s="7" t="s">
        <v>173</v>
      </c>
      <c r="C169" s="26" t="s">
        <v>174</v>
      </c>
      <c r="D169" s="25" t="s">
        <v>147</v>
      </c>
      <c r="E169" s="66">
        <v>6</v>
      </c>
      <c r="F169" s="66">
        <f>32.13*1.50943396226415</f>
        <v>48.498113207547142</v>
      </c>
      <c r="G169" s="66">
        <f t="shared" ref="G169:G200" si="14">F169*E169</f>
        <v>290.98867924528287</v>
      </c>
      <c r="H169" s="239">
        <f t="shared" ref="H169:H215" si="15">+F169*E169</f>
        <v>290.98867924528287</v>
      </c>
      <c r="I169" s="85"/>
      <c r="J169" s="240">
        <f>32.13*1.50943396226415</f>
        <v>48.498113207547142</v>
      </c>
      <c r="K169" s="240">
        <f>E169*J169</f>
        <v>290.98867924528287</v>
      </c>
      <c r="L169" s="219"/>
      <c r="M169" s="245" t="s">
        <v>20</v>
      </c>
    </row>
    <row r="170" spans="1:13">
      <c r="A170" s="35" t="s">
        <v>172</v>
      </c>
      <c r="B170" s="7" t="s">
        <v>173</v>
      </c>
      <c r="C170" s="26" t="s">
        <v>174</v>
      </c>
      <c r="D170" s="25" t="s">
        <v>147</v>
      </c>
      <c r="E170" s="66">
        <v>3</v>
      </c>
      <c r="F170" s="25">
        <f>30.6*8000/5300</f>
        <v>46.188679245283019</v>
      </c>
      <c r="G170" s="25">
        <f t="shared" si="14"/>
        <v>138.56603773584905</v>
      </c>
      <c r="H170" s="238">
        <f t="shared" si="15"/>
        <v>138.56603773584905</v>
      </c>
      <c r="I170" s="25"/>
      <c r="J170" s="52">
        <f>30.6*8000/5300</f>
        <v>46.188679245283019</v>
      </c>
      <c r="K170" s="240">
        <f>J170*E170</f>
        <v>138.56603773584905</v>
      </c>
      <c r="L170" s="219"/>
      <c r="M170" s="245" t="s">
        <v>89</v>
      </c>
    </row>
    <row r="171" spans="1:13">
      <c r="A171" s="218" t="s">
        <v>172</v>
      </c>
      <c r="B171" s="7" t="s">
        <v>173</v>
      </c>
      <c r="C171" s="26" t="s">
        <v>174</v>
      </c>
      <c r="D171" s="25" t="s">
        <v>147</v>
      </c>
      <c r="E171" s="66">
        <v>1</v>
      </c>
      <c r="F171" s="25">
        <f>30.6*8000/5300</f>
        <v>46.188679245283019</v>
      </c>
      <c r="G171" s="25">
        <f t="shared" si="14"/>
        <v>46.188679245283019</v>
      </c>
      <c r="H171" s="238">
        <f t="shared" si="15"/>
        <v>46.188679245283019</v>
      </c>
      <c r="I171" s="25"/>
      <c r="J171" s="240">
        <f>30.6*8000/5300</f>
        <v>46.188679245283019</v>
      </c>
      <c r="K171" s="25">
        <f>J171*I171</f>
        <v>0</v>
      </c>
      <c r="L171" s="240">
        <f>+J171*E171</f>
        <v>46.188679245283019</v>
      </c>
      <c r="M171" s="245" t="s">
        <v>117</v>
      </c>
    </row>
    <row r="172" spans="1:13">
      <c r="A172" s="35" t="s">
        <v>172</v>
      </c>
      <c r="B172" s="7" t="s">
        <v>173</v>
      </c>
      <c r="C172" s="26" t="s">
        <v>174</v>
      </c>
      <c r="D172" s="25" t="s">
        <v>147</v>
      </c>
      <c r="E172" s="25">
        <v>3</v>
      </c>
      <c r="F172" s="25">
        <f>30.6*8000/5300</f>
        <v>46.188679245283019</v>
      </c>
      <c r="G172" s="25">
        <f t="shared" si="14"/>
        <v>138.56603773584905</v>
      </c>
      <c r="H172" s="238">
        <f t="shared" si="15"/>
        <v>138.56603773584905</v>
      </c>
      <c r="I172" s="25"/>
      <c r="J172" s="52">
        <f>30.6*8000/5300</f>
        <v>46.188679245283019</v>
      </c>
      <c r="K172" s="25">
        <f>J172*I172</f>
        <v>0</v>
      </c>
      <c r="L172" s="240">
        <f>+J172*E172</f>
        <v>138.56603773584905</v>
      </c>
      <c r="M172" s="245" t="s">
        <v>118</v>
      </c>
    </row>
    <row r="173" spans="1:13">
      <c r="A173" s="218" t="s">
        <v>172</v>
      </c>
      <c r="B173" s="7" t="s">
        <v>173</v>
      </c>
      <c r="C173" s="26" t="s">
        <v>174</v>
      </c>
      <c r="D173" s="25" t="s">
        <v>147</v>
      </c>
      <c r="E173" s="66">
        <v>4</v>
      </c>
      <c r="F173" s="233">
        <f>30.6*8000/5300</f>
        <v>46.188679245283019</v>
      </c>
      <c r="G173" s="25">
        <f t="shared" si="14"/>
        <v>184.75471698113208</v>
      </c>
      <c r="H173" s="238">
        <f t="shared" si="15"/>
        <v>184.75471698113208</v>
      </c>
      <c r="I173" s="25"/>
      <c r="J173" s="84">
        <f>30.6*8000/5300</f>
        <v>46.188679245283019</v>
      </c>
      <c r="K173" s="52">
        <f>+J173*E173</f>
        <v>184.75471698113208</v>
      </c>
      <c r="L173" s="219"/>
      <c r="M173" s="245" t="s">
        <v>23</v>
      </c>
    </row>
    <row r="174" spans="1:13">
      <c r="A174" s="218" t="s">
        <v>172</v>
      </c>
      <c r="B174" s="7" t="s">
        <v>173</v>
      </c>
      <c r="C174" s="26" t="s">
        <v>174</v>
      </c>
      <c r="D174" s="25" t="s">
        <v>175</v>
      </c>
      <c r="E174" s="66">
        <v>4</v>
      </c>
      <c r="F174" s="53">
        <f>32.13*1.50943396226415</f>
        <v>48.498113207547142</v>
      </c>
      <c r="G174" s="66">
        <f t="shared" si="14"/>
        <v>193.99245283018857</v>
      </c>
      <c r="H174" s="238">
        <f t="shared" si="15"/>
        <v>193.99245283018857</v>
      </c>
      <c r="I174" s="25"/>
      <c r="J174" s="52">
        <f>32.13*1.50943396226415</f>
        <v>48.498113207547142</v>
      </c>
      <c r="K174" s="240">
        <f>+J174*E174</f>
        <v>193.99245283018857</v>
      </c>
      <c r="L174" s="219"/>
      <c r="M174" s="245" t="s">
        <v>87</v>
      </c>
    </row>
    <row r="175" spans="1:13">
      <c r="A175" s="218" t="s">
        <v>176</v>
      </c>
      <c r="B175" s="7" t="s">
        <v>173</v>
      </c>
      <c r="C175" s="43" t="s">
        <v>174</v>
      </c>
      <c r="D175" s="27" t="s">
        <v>147</v>
      </c>
      <c r="E175" s="42">
        <v>6</v>
      </c>
      <c r="F175" s="32">
        <f>32.13*1.50943396226415</f>
        <v>48.498113207547142</v>
      </c>
      <c r="G175" s="32">
        <f t="shared" si="14"/>
        <v>290.98867924528287</v>
      </c>
      <c r="H175" s="37">
        <f t="shared" si="15"/>
        <v>290.98867924528287</v>
      </c>
      <c r="I175" s="27"/>
      <c r="J175" s="37">
        <f>32.13*1.50943396226415</f>
        <v>48.498113207547142</v>
      </c>
      <c r="K175" s="32">
        <f>J175*I175</f>
        <v>0</v>
      </c>
      <c r="L175" s="41">
        <f>+J175*E175</f>
        <v>290.98867924528287</v>
      </c>
      <c r="M175" s="245" t="s">
        <v>30</v>
      </c>
    </row>
    <row r="176" spans="1:13">
      <c r="A176" s="218" t="s">
        <v>176</v>
      </c>
      <c r="B176" s="7" t="s">
        <v>173</v>
      </c>
      <c r="C176" s="29" t="s">
        <v>174</v>
      </c>
      <c r="D176" s="32" t="s">
        <v>147</v>
      </c>
      <c r="E176" s="229">
        <v>4</v>
      </c>
      <c r="F176" s="73">
        <f>32.13*1.50943396226415</f>
        <v>48.498113207547142</v>
      </c>
      <c r="G176" s="229">
        <f t="shared" si="14"/>
        <v>193.99245283018857</v>
      </c>
      <c r="H176" s="238">
        <f t="shared" si="15"/>
        <v>193.99245283018857</v>
      </c>
      <c r="I176" s="25"/>
      <c r="J176" s="86">
        <f>32.13*1.50943396226415</f>
        <v>48.498113207547142</v>
      </c>
      <c r="K176" s="229">
        <f>J176*I176</f>
        <v>0</v>
      </c>
      <c r="L176" s="52">
        <f>+J176*E176</f>
        <v>193.99245283018857</v>
      </c>
      <c r="M176" s="245" t="s">
        <v>17</v>
      </c>
    </row>
    <row r="177" spans="1:13">
      <c r="A177" s="35" t="s">
        <v>177</v>
      </c>
      <c r="B177" s="7" t="s">
        <v>178</v>
      </c>
      <c r="C177" s="26" t="s">
        <v>179</v>
      </c>
      <c r="D177" s="25" t="s">
        <v>123</v>
      </c>
      <c r="E177" s="66">
        <v>1</v>
      </c>
      <c r="F177" s="25">
        <f>152.12*8000/5300</f>
        <v>229.61509433962263</v>
      </c>
      <c r="G177" s="25">
        <f t="shared" si="14"/>
        <v>229.61509433962263</v>
      </c>
      <c r="H177" s="238">
        <f t="shared" si="15"/>
        <v>229.61509433962263</v>
      </c>
      <c r="I177" s="25"/>
      <c r="J177" s="52">
        <f>152.12*8000/5300</f>
        <v>229.61509433962263</v>
      </c>
      <c r="K177" s="240">
        <f>J177*E177</f>
        <v>229.61509433962263</v>
      </c>
      <c r="L177" s="219"/>
      <c r="M177" s="245" t="s">
        <v>89</v>
      </c>
    </row>
    <row r="178" spans="1:13">
      <c r="A178" s="218" t="s">
        <v>177</v>
      </c>
      <c r="B178" s="7" t="s">
        <v>178</v>
      </c>
      <c r="C178" s="26" t="s">
        <v>179</v>
      </c>
      <c r="D178" s="25" t="s">
        <v>123</v>
      </c>
      <c r="E178" s="66">
        <v>1</v>
      </c>
      <c r="F178" s="25">
        <f>152.12*8000/5300</f>
        <v>229.61509433962263</v>
      </c>
      <c r="G178" s="25">
        <f t="shared" si="14"/>
        <v>229.61509433962263</v>
      </c>
      <c r="H178" s="238">
        <f t="shared" si="15"/>
        <v>229.61509433962263</v>
      </c>
      <c r="I178" s="25"/>
      <c r="J178" s="240">
        <f>152.12*8000/5300</f>
        <v>229.61509433962263</v>
      </c>
      <c r="K178" s="25">
        <f>J178*I178</f>
        <v>0</v>
      </c>
      <c r="L178" s="240">
        <f>+J178*E178</f>
        <v>229.61509433962263</v>
      </c>
      <c r="M178" s="245" t="s">
        <v>117</v>
      </c>
    </row>
    <row r="179" spans="1:13">
      <c r="A179" s="35" t="s">
        <v>177</v>
      </c>
      <c r="B179" s="7" t="s">
        <v>178</v>
      </c>
      <c r="C179" s="26" t="s">
        <v>180</v>
      </c>
      <c r="D179" s="25" t="s">
        <v>155</v>
      </c>
      <c r="E179" s="25">
        <v>1</v>
      </c>
      <c r="F179" s="25">
        <f>152.12*8000/5300</f>
        <v>229.61509433962263</v>
      </c>
      <c r="G179" s="25">
        <f t="shared" si="14"/>
        <v>229.61509433962263</v>
      </c>
      <c r="H179" s="238">
        <f t="shared" si="15"/>
        <v>229.61509433962263</v>
      </c>
      <c r="I179" s="25"/>
      <c r="J179" s="52">
        <f>152.12*8000/5300</f>
        <v>229.61509433962263</v>
      </c>
      <c r="K179" s="25">
        <f>J179*I179</f>
        <v>0</v>
      </c>
      <c r="L179" s="240">
        <f>+J179*E179</f>
        <v>229.61509433962263</v>
      </c>
      <c r="M179" s="245" t="s">
        <v>118</v>
      </c>
    </row>
    <row r="180" spans="1:13">
      <c r="A180" s="218" t="s">
        <v>177</v>
      </c>
      <c r="B180" s="7" t="s">
        <v>178</v>
      </c>
      <c r="C180" s="26" t="s">
        <v>179</v>
      </c>
      <c r="D180" s="25" t="s">
        <v>123</v>
      </c>
      <c r="E180" s="66">
        <v>1</v>
      </c>
      <c r="F180" s="233">
        <f>152.12*8000/5300</f>
        <v>229.61509433962263</v>
      </c>
      <c r="G180" s="25">
        <f t="shared" si="14"/>
        <v>229.61509433962263</v>
      </c>
      <c r="H180" s="238">
        <f t="shared" si="15"/>
        <v>229.61509433962263</v>
      </c>
      <c r="I180" s="25"/>
      <c r="J180" s="84">
        <f>152.12*8000/5300</f>
        <v>229.61509433962263</v>
      </c>
      <c r="K180" s="52">
        <f>+J180*E180</f>
        <v>229.61509433962263</v>
      </c>
      <c r="L180" s="219"/>
      <c r="M180" s="245" t="s">
        <v>23</v>
      </c>
    </row>
    <row r="181" spans="1:13">
      <c r="A181" s="218" t="s">
        <v>177</v>
      </c>
      <c r="B181" s="7" t="s">
        <v>178</v>
      </c>
      <c r="C181" s="26" t="s">
        <v>179</v>
      </c>
      <c r="D181" s="25" t="s">
        <v>181</v>
      </c>
      <c r="E181" s="66">
        <v>1</v>
      </c>
      <c r="F181" s="53">
        <f>159.726*1.50943396226415</f>
        <v>241.09584905660361</v>
      </c>
      <c r="G181" s="66">
        <f t="shared" si="14"/>
        <v>241.09584905660361</v>
      </c>
      <c r="H181" s="238">
        <f t="shared" si="15"/>
        <v>241.09584905660361</v>
      </c>
      <c r="I181" s="25"/>
      <c r="J181" s="52">
        <f>159.726*1.50943396226415</f>
        <v>241.09584905660361</v>
      </c>
      <c r="K181" s="240">
        <f>+J181*E181</f>
        <v>241.09584905660361</v>
      </c>
      <c r="L181" s="219"/>
      <c r="M181" s="245" t="s">
        <v>87</v>
      </c>
    </row>
    <row r="182" spans="1:13">
      <c r="A182" s="35" t="s">
        <v>176</v>
      </c>
      <c r="B182" s="7" t="s">
        <v>178</v>
      </c>
      <c r="C182" s="26" t="s">
        <v>179</v>
      </c>
      <c r="D182" s="25" t="s">
        <v>155</v>
      </c>
      <c r="E182" s="66">
        <v>1</v>
      </c>
      <c r="F182" s="66">
        <f>159.726*8000/5300</f>
        <v>241.09584905660378</v>
      </c>
      <c r="G182" s="66">
        <f t="shared" si="14"/>
        <v>241.09584905660378</v>
      </c>
      <c r="H182" s="239">
        <f t="shared" si="15"/>
        <v>241.09584905660378</v>
      </c>
      <c r="I182" s="85"/>
      <c r="J182" s="240">
        <f>159.726*8000/5300</f>
        <v>241.09584905660378</v>
      </c>
      <c r="K182" s="240">
        <f>E182*J182</f>
        <v>241.09584905660378</v>
      </c>
      <c r="L182" s="219"/>
      <c r="M182" s="245" t="s">
        <v>20</v>
      </c>
    </row>
    <row r="183" spans="1:13">
      <c r="A183" s="218" t="s">
        <v>182</v>
      </c>
      <c r="B183" s="7" t="s">
        <v>178</v>
      </c>
      <c r="C183" s="43" t="s">
        <v>180</v>
      </c>
      <c r="D183" s="27" t="s">
        <v>181</v>
      </c>
      <c r="E183" s="42">
        <v>1</v>
      </c>
      <c r="F183" s="32">
        <f>159.726*1.50943396226415</f>
        <v>241.09584905660361</v>
      </c>
      <c r="G183" s="32">
        <f t="shared" si="14"/>
        <v>241.09584905660361</v>
      </c>
      <c r="H183" s="37">
        <f t="shared" si="15"/>
        <v>241.09584905660361</v>
      </c>
      <c r="I183" s="27"/>
      <c r="J183" s="37">
        <f>159.726*1.50943396226415</f>
        <v>241.09584905660361</v>
      </c>
      <c r="K183" s="27">
        <f>J183*I183</f>
        <v>0</v>
      </c>
      <c r="L183" s="41">
        <f>+J183*E183</f>
        <v>241.09584905660361</v>
      </c>
      <c r="M183" s="245" t="s">
        <v>30</v>
      </c>
    </row>
    <row r="184" spans="1:13">
      <c r="A184" s="218" t="s">
        <v>182</v>
      </c>
      <c r="B184" s="7" t="s">
        <v>178</v>
      </c>
      <c r="C184" s="29" t="s">
        <v>180</v>
      </c>
      <c r="D184" s="32" t="s">
        <v>181</v>
      </c>
      <c r="E184" s="229">
        <v>1</v>
      </c>
      <c r="F184" s="73">
        <f>159.726*1.50943396226415</f>
        <v>241.09584905660361</v>
      </c>
      <c r="G184" s="229">
        <f t="shared" si="14"/>
        <v>241.09584905660361</v>
      </c>
      <c r="H184" s="238">
        <f t="shared" si="15"/>
        <v>241.09584905660361</v>
      </c>
      <c r="I184" s="25"/>
      <c r="J184" s="86">
        <f>159.726*1.50943396226415</f>
        <v>241.09584905660361</v>
      </c>
      <c r="K184" s="229">
        <f>J184*I184</f>
        <v>0</v>
      </c>
      <c r="L184" s="52">
        <f>+J184*E184</f>
        <v>241.09584905660361</v>
      </c>
      <c r="M184" s="245" t="s">
        <v>17</v>
      </c>
    </row>
    <row r="185" spans="1:13">
      <c r="A185" s="218" t="s">
        <v>183</v>
      </c>
      <c r="B185" s="7" t="s">
        <v>184</v>
      </c>
      <c r="C185" s="26" t="s">
        <v>185</v>
      </c>
      <c r="D185" s="55" t="s">
        <v>123</v>
      </c>
      <c r="E185" s="66">
        <v>1</v>
      </c>
      <c r="F185" s="25">
        <v>213.23</v>
      </c>
      <c r="G185" s="25">
        <f t="shared" si="14"/>
        <v>213.23</v>
      </c>
      <c r="H185" s="238">
        <f t="shared" si="15"/>
        <v>213.23</v>
      </c>
      <c r="I185" s="51"/>
      <c r="J185" s="52">
        <v>213.23</v>
      </c>
      <c r="K185" s="53">
        <f>J185*I185</f>
        <v>0</v>
      </c>
      <c r="L185" s="52">
        <f>+J185*E185</f>
        <v>213.23</v>
      </c>
      <c r="M185" s="245" t="s">
        <v>93</v>
      </c>
    </row>
    <row r="186" spans="1:13">
      <c r="A186" s="218" t="s">
        <v>183</v>
      </c>
      <c r="B186" s="7" t="s">
        <v>184</v>
      </c>
      <c r="C186" s="29" t="s">
        <v>185</v>
      </c>
      <c r="D186" s="32" t="s">
        <v>123</v>
      </c>
      <c r="E186" s="229">
        <v>1</v>
      </c>
      <c r="F186" s="32">
        <f>275.27*8000/5300</f>
        <v>415.50188679245281</v>
      </c>
      <c r="G186" s="32">
        <f t="shared" si="14"/>
        <v>415.50188679245281</v>
      </c>
      <c r="H186" s="238">
        <f t="shared" si="15"/>
        <v>415.50188679245281</v>
      </c>
      <c r="I186" s="25"/>
      <c r="J186" s="86">
        <f>275.27*8000/5300</f>
        <v>415.50188679245281</v>
      </c>
      <c r="K186" s="32">
        <f>J186*I186</f>
        <v>0</v>
      </c>
      <c r="L186" s="52">
        <f>+J186*E186</f>
        <v>415.50188679245281</v>
      </c>
      <c r="M186" s="245" t="s">
        <v>15</v>
      </c>
    </row>
    <row r="187" spans="1:13">
      <c r="A187" s="35" t="s">
        <v>186</v>
      </c>
      <c r="B187" s="7" t="s">
        <v>187</v>
      </c>
      <c r="C187" s="26" t="s">
        <v>188</v>
      </c>
      <c r="D187" s="25" t="s">
        <v>147</v>
      </c>
      <c r="E187" s="66">
        <v>6</v>
      </c>
      <c r="F187" s="66">
        <f>32.13*1.50943396226415</f>
        <v>48.498113207547142</v>
      </c>
      <c r="G187" s="66">
        <f t="shared" si="14"/>
        <v>290.98867924528287</v>
      </c>
      <c r="H187" s="239">
        <f t="shared" si="15"/>
        <v>290.98867924528287</v>
      </c>
      <c r="I187" s="85"/>
      <c r="J187" s="240">
        <f>32.13*1.50943396226415</f>
        <v>48.498113207547142</v>
      </c>
      <c r="K187" s="240">
        <f>E187*J187</f>
        <v>290.98867924528287</v>
      </c>
      <c r="L187" s="219"/>
      <c r="M187" s="245" t="s">
        <v>20</v>
      </c>
    </row>
    <row r="188" spans="1:13">
      <c r="A188" s="35" t="s">
        <v>186</v>
      </c>
      <c r="B188" s="7" t="s">
        <v>187</v>
      </c>
      <c r="C188" s="26" t="s">
        <v>188</v>
      </c>
      <c r="D188" s="25" t="s">
        <v>147</v>
      </c>
      <c r="E188" s="66">
        <v>3</v>
      </c>
      <c r="F188" s="25">
        <f>30.6*8000/5300</f>
        <v>46.188679245283019</v>
      </c>
      <c r="G188" s="25">
        <f t="shared" si="14"/>
        <v>138.56603773584905</v>
      </c>
      <c r="H188" s="238">
        <f t="shared" si="15"/>
        <v>138.56603773584905</v>
      </c>
      <c r="I188" s="25"/>
      <c r="J188" s="52">
        <f>30.6*8000/5300</f>
        <v>46.188679245283019</v>
      </c>
      <c r="K188" s="240">
        <f>J188*E188</f>
        <v>138.56603773584905</v>
      </c>
      <c r="L188" s="219"/>
      <c r="M188" s="245" t="s">
        <v>89</v>
      </c>
    </row>
    <row r="189" spans="1:13">
      <c r="A189" s="218" t="s">
        <v>186</v>
      </c>
      <c r="B189" s="7" t="s">
        <v>187</v>
      </c>
      <c r="C189" s="26" t="s">
        <v>188</v>
      </c>
      <c r="D189" s="25" t="s">
        <v>147</v>
      </c>
      <c r="E189" s="66">
        <v>1</v>
      </c>
      <c r="F189" s="25">
        <f>30.6*8000/5300</f>
        <v>46.188679245283019</v>
      </c>
      <c r="G189" s="25">
        <f t="shared" si="14"/>
        <v>46.188679245283019</v>
      </c>
      <c r="H189" s="238">
        <f t="shared" si="15"/>
        <v>46.188679245283019</v>
      </c>
      <c r="I189" s="25"/>
      <c r="J189" s="240">
        <f>30.6*8000/5300</f>
        <v>46.188679245283019</v>
      </c>
      <c r="K189" s="25">
        <f>J189*I189</f>
        <v>0</v>
      </c>
      <c r="L189" s="240">
        <f>+J189*E189</f>
        <v>46.188679245283019</v>
      </c>
      <c r="M189" s="245" t="s">
        <v>117</v>
      </c>
    </row>
    <row r="190" spans="1:13">
      <c r="A190" s="35" t="s">
        <v>186</v>
      </c>
      <c r="B190" s="7" t="s">
        <v>187</v>
      </c>
      <c r="C190" s="26" t="s">
        <v>188</v>
      </c>
      <c r="D190" s="25" t="s">
        <v>147</v>
      </c>
      <c r="E190" s="25">
        <v>2</v>
      </c>
      <c r="F190" s="25">
        <f>30.6*8000/5300</f>
        <v>46.188679245283019</v>
      </c>
      <c r="G190" s="25">
        <f t="shared" si="14"/>
        <v>92.377358490566039</v>
      </c>
      <c r="H190" s="238">
        <f t="shared" si="15"/>
        <v>92.377358490566039</v>
      </c>
      <c r="I190" s="25"/>
      <c r="J190" s="52">
        <f>30.6*8000/5300</f>
        <v>46.188679245283019</v>
      </c>
      <c r="K190" s="25">
        <f>J190*I190</f>
        <v>0</v>
      </c>
      <c r="L190" s="240">
        <f>+J190*E190</f>
        <v>92.377358490566039</v>
      </c>
      <c r="M190" s="245" t="s">
        <v>118</v>
      </c>
    </row>
    <row r="191" spans="1:13">
      <c r="A191" s="218" t="s">
        <v>186</v>
      </c>
      <c r="B191" s="7" t="s">
        <v>187</v>
      </c>
      <c r="C191" s="26" t="s">
        <v>188</v>
      </c>
      <c r="D191" s="25" t="s">
        <v>147</v>
      </c>
      <c r="E191" s="66">
        <v>4</v>
      </c>
      <c r="F191" s="233">
        <f>30.6*8000/5300</f>
        <v>46.188679245283019</v>
      </c>
      <c r="G191" s="25">
        <f t="shared" si="14"/>
        <v>184.75471698113208</v>
      </c>
      <c r="H191" s="238">
        <f t="shared" si="15"/>
        <v>184.75471698113208</v>
      </c>
      <c r="I191" s="25"/>
      <c r="J191" s="84">
        <f>30.6*8000/5300</f>
        <v>46.188679245283019</v>
      </c>
      <c r="K191" s="52">
        <f>+J191*E191</f>
        <v>184.75471698113208</v>
      </c>
      <c r="L191" s="219"/>
      <c r="M191" s="245" t="s">
        <v>23</v>
      </c>
    </row>
    <row r="192" spans="1:13">
      <c r="A192" s="218" t="s">
        <v>186</v>
      </c>
      <c r="B192" s="7" t="s">
        <v>187</v>
      </c>
      <c r="C192" s="26" t="s">
        <v>188</v>
      </c>
      <c r="D192" s="25" t="s">
        <v>175</v>
      </c>
      <c r="E192" s="66">
        <v>6</v>
      </c>
      <c r="F192" s="53">
        <f>32.13*1.50943396226415</f>
        <v>48.498113207547142</v>
      </c>
      <c r="G192" s="66">
        <f t="shared" si="14"/>
        <v>290.98867924528287</v>
      </c>
      <c r="H192" s="238">
        <f t="shared" si="15"/>
        <v>290.98867924528287</v>
      </c>
      <c r="I192" s="25"/>
      <c r="J192" s="52">
        <f>32.13*1.50943396226415</f>
        <v>48.498113207547142</v>
      </c>
      <c r="K192" s="240">
        <f>+J192*E192</f>
        <v>290.98867924528287</v>
      </c>
      <c r="L192" s="219"/>
      <c r="M192" s="245" t="s">
        <v>87</v>
      </c>
    </row>
    <row r="193" spans="1:13">
      <c r="A193" s="218" t="s">
        <v>177</v>
      </c>
      <c r="B193" s="7" t="s">
        <v>187</v>
      </c>
      <c r="C193" s="43" t="s">
        <v>188</v>
      </c>
      <c r="D193" s="27" t="s">
        <v>147</v>
      </c>
      <c r="E193" s="42">
        <v>6</v>
      </c>
      <c r="F193" s="32">
        <f>32.13*1.50943396226415</f>
        <v>48.498113207547142</v>
      </c>
      <c r="G193" s="32">
        <f t="shared" si="14"/>
        <v>290.98867924528287</v>
      </c>
      <c r="H193" s="37">
        <f t="shared" si="15"/>
        <v>290.98867924528287</v>
      </c>
      <c r="I193" s="27"/>
      <c r="J193" s="37">
        <f>32.13*1.50943396226415</f>
        <v>48.498113207547142</v>
      </c>
      <c r="K193" s="27">
        <f>J193*I193</f>
        <v>0</v>
      </c>
      <c r="L193" s="41">
        <f>+J193*E193</f>
        <v>290.98867924528287</v>
      </c>
      <c r="M193" s="245" t="s">
        <v>30</v>
      </c>
    </row>
    <row r="194" spans="1:13">
      <c r="A194" s="218" t="s">
        <v>177</v>
      </c>
      <c r="B194" s="7" t="s">
        <v>187</v>
      </c>
      <c r="C194" s="29" t="s">
        <v>188</v>
      </c>
      <c r="D194" s="32" t="s">
        <v>147</v>
      </c>
      <c r="E194" s="229">
        <v>6</v>
      </c>
      <c r="F194" s="73">
        <f>32.13*1.50943396226415</f>
        <v>48.498113207547142</v>
      </c>
      <c r="G194" s="229">
        <f t="shared" si="14"/>
        <v>290.98867924528287</v>
      </c>
      <c r="H194" s="238">
        <f t="shared" si="15"/>
        <v>290.98867924528287</v>
      </c>
      <c r="I194" s="25"/>
      <c r="J194" s="86">
        <f>32.13*1.50943396226415</f>
        <v>48.498113207547142</v>
      </c>
      <c r="K194" s="229">
        <f>J194*I194</f>
        <v>0</v>
      </c>
      <c r="L194" s="52">
        <f>+J194*E194</f>
        <v>290.98867924528287</v>
      </c>
      <c r="M194" s="245" t="s">
        <v>17</v>
      </c>
    </row>
    <row r="195" spans="1:13">
      <c r="A195" s="218" t="s">
        <v>172</v>
      </c>
      <c r="B195" s="7" t="s">
        <v>189</v>
      </c>
      <c r="C195" s="43" t="s">
        <v>190</v>
      </c>
      <c r="D195" s="27" t="s">
        <v>147</v>
      </c>
      <c r="E195" s="42">
        <v>3</v>
      </c>
      <c r="F195" s="32">
        <f>36.96*1.50943396226415</f>
        <v>55.788679245282985</v>
      </c>
      <c r="G195" s="32">
        <f t="shared" si="14"/>
        <v>167.36603773584895</v>
      </c>
      <c r="H195" s="37">
        <f t="shared" si="15"/>
        <v>167.36603773584895</v>
      </c>
      <c r="I195" s="27"/>
      <c r="J195" s="37">
        <f>36.96*1.50943396226415</f>
        <v>55.788679245282985</v>
      </c>
      <c r="K195" s="27">
        <f>J195*I195</f>
        <v>0</v>
      </c>
      <c r="L195" s="41">
        <f>+J195*E195</f>
        <v>167.36603773584895</v>
      </c>
      <c r="M195" s="245" t="s">
        <v>30</v>
      </c>
    </row>
    <row r="196" spans="1:13">
      <c r="A196" s="218" t="s">
        <v>172</v>
      </c>
      <c r="B196" s="7" t="s">
        <v>189</v>
      </c>
      <c r="C196" s="29" t="s">
        <v>190</v>
      </c>
      <c r="D196" s="32" t="s">
        <v>147</v>
      </c>
      <c r="E196" s="229">
        <v>3</v>
      </c>
      <c r="F196" s="73">
        <f>36.96*1.50943396226415</f>
        <v>55.788679245282985</v>
      </c>
      <c r="G196" s="229">
        <f t="shared" si="14"/>
        <v>167.36603773584895</v>
      </c>
      <c r="H196" s="238">
        <f t="shared" si="15"/>
        <v>167.36603773584895</v>
      </c>
      <c r="I196" s="25"/>
      <c r="J196" s="86">
        <f>36.96*1.50943396226415</f>
        <v>55.788679245282985</v>
      </c>
      <c r="K196" s="229">
        <f>J196*I196</f>
        <v>0</v>
      </c>
      <c r="L196" s="52">
        <f>+J196*E196</f>
        <v>167.36603773584895</v>
      </c>
      <c r="M196" s="245" t="s">
        <v>17</v>
      </c>
    </row>
    <row r="197" spans="1:13">
      <c r="A197" s="35" t="s">
        <v>191</v>
      </c>
      <c r="B197" s="7" t="s">
        <v>192</v>
      </c>
      <c r="C197" s="26" t="s">
        <v>193</v>
      </c>
      <c r="D197" s="25"/>
      <c r="E197" s="66">
        <v>1</v>
      </c>
      <c r="F197" s="66">
        <f>34.776*8000/5300</f>
        <v>52.492075471698115</v>
      </c>
      <c r="G197" s="66">
        <f t="shared" si="14"/>
        <v>52.492075471698115</v>
      </c>
      <c r="H197" s="239">
        <f t="shared" si="15"/>
        <v>52.492075471698115</v>
      </c>
      <c r="I197" s="85"/>
      <c r="J197" s="240">
        <f>34.776*8000/5300</f>
        <v>52.492075471698115</v>
      </c>
      <c r="K197" s="240">
        <f>E197*J197</f>
        <v>52.492075471698115</v>
      </c>
      <c r="L197" s="219"/>
      <c r="M197" s="245" t="s">
        <v>20</v>
      </c>
    </row>
    <row r="198" spans="1:13">
      <c r="A198" s="35" t="s">
        <v>191</v>
      </c>
      <c r="B198" s="7" t="s">
        <v>192</v>
      </c>
      <c r="C198" s="26" t="s">
        <v>193</v>
      </c>
      <c r="D198" s="25" t="s">
        <v>147</v>
      </c>
      <c r="E198" s="66">
        <v>1</v>
      </c>
      <c r="F198" s="25">
        <f>33.12*8000/5300</f>
        <v>49.992452830188682</v>
      </c>
      <c r="G198" s="25">
        <f t="shared" si="14"/>
        <v>49.992452830188682</v>
      </c>
      <c r="H198" s="238">
        <f t="shared" si="15"/>
        <v>49.992452830188682</v>
      </c>
      <c r="I198" s="25"/>
      <c r="J198" s="52">
        <f>33.12*8000/5300</f>
        <v>49.992452830188682</v>
      </c>
      <c r="K198" s="240">
        <f>J198*E198</f>
        <v>49.992452830188682</v>
      </c>
      <c r="L198" s="219"/>
      <c r="M198" s="245" t="s">
        <v>89</v>
      </c>
    </row>
    <row r="199" spans="1:13">
      <c r="A199" s="218" t="s">
        <v>191</v>
      </c>
      <c r="B199" s="7" t="s">
        <v>192</v>
      </c>
      <c r="C199" s="26" t="s">
        <v>193</v>
      </c>
      <c r="D199" s="25" t="s">
        <v>147</v>
      </c>
      <c r="E199" s="66">
        <v>1</v>
      </c>
      <c r="F199" s="25">
        <f>33.12*8000/5300</f>
        <v>49.992452830188682</v>
      </c>
      <c r="G199" s="25">
        <f t="shared" si="14"/>
        <v>49.992452830188682</v>
      </c>
      <c r="H199" s="238">
        <f t="shared" si="15"/>
        <v>49.992452830188682</v>
      </c>
      <c r="I199" s="25"/>
      <c r="J199" s="240">
        <f>33.12*8000/5300</f>
        <v>49.992452830188682</v>
      </c>
      <c r="K199" s="25">
        <f>J199*I199</f>
        <v>0</v>
      </c>
      <c r="L199" s="240">
        <f>+J199*E199</f>
        <v>49.992452830188682</v>
      </c>
      <c r="M199" s="245" t="s">
        <v>117</v>
      </c>
    </row>
    <row r="200" spans="1:13">
      <c r="A200" s="35" t="s">
        <v>191</v>
      </c>
      <c r="B200" s="7" t="s">
        <v>192</v>
      </c>
      <c r="C200" s="26" t="s">
        <v>193</v>
      </c>
      <c r="D200" s="25"/>
      <c r="E200" s="25">
        <v>1</v>
      </c>
      <c r="F200" s="25">
        <f>33.12*8000/5300</f>
        <v>49.992452830188682</v>
      </c>
      <c r="G200" s="25">
        <f t="shared" si="14"/>
        <v>49.992452830188682</v>
      </c>
      <c r="H200" s="238">
        <f t="shared" si="15"/>
        <v>49.992452830188682</v>
      </c>
      <c r="I200" s="25"/>
      <c r="J200" s="52">
        <f>33.12*8000/5300</f>
        <v>49.992452830188682</v>
      </c>
      <c r="K200" s="25">
        <f>J200*I200</f>
        <v>0</v>
      </c>
      <c r="L200" s="240">
        <f>+J200*E200</f>
        <v>49.992452830188682</v>
      </c>
      <c r="M200" s="245" t="s">
        <v>118</v>
      </c>
    </row>
    <row r="201" spans="1:13">
      <c r="A201" s="218" t="s">
        <v>191</v>
      </c>
      <c r="B201" s="7" t="s">
        <v>192</v>
      </c>
      <c r="C201" s="26" t="s">
        <v>193</v>
      </c>
      <c r="D201" s="25" t="s">
        <v>147</v>
      </c>
      <c r="E201" s="66">
        <v>1</v>
      </c>
      <c r="F201" s="233">
        <f>33.12*8000/5300</f>
        <v>49.992452830188682</v>
      </c>
      <c r="G201" s="25">
        <f t="shared" ref="G201:G221" si="16">F201*E201</f>
        <v>49.992452830188682</v>
      </c>
      <c r="H201" s="238">
        <f t="shared" si="15"/>
        <v>49.992452830188682</v>
      </c>
      <c r="I201" s="25"/>
      <c r="J201" s="84">
        <f>33.12*8000/5300</f>
        <v>49.992452830188682</v>
      </c>
      <c r="K201" s="52">
        <f>+J201*E201</f>
        <v>49.992452830188682</v>
      </c>
      <c r="L201" s="219"/>
      <c r="M201" s="245" t="s">
        <v>23</v>
      </c>
    </row>
    <row r="202" spans="1:13">
      <c r="A202" s="218" t="s">
        <v>191</v>
      </c>
      <c r="B202" s="7" t="s">
        <v>192</v>
      </c>
      <c r="C202" s="26" t="s">
        <v>193</v>
      </c>
      <c r="D202" s="25" t="s">
        <v>175</v>
      </c>
      <c r="E202" s="66">
        <v>4</v>
      </c>
      <c r="F202" s="53">
        <f>34.776*1.50943396226415</f>
        <v>52.492075471698087</v>
      </c>
      <c r="G202" s="66">
        <f t="shared" si="16"/>
        <v>209.96830188679235</v>
      </c>
      <c r="H202" s="238">
        <f t="shared" si="15"/>
        <v>209.96830188679235</v>
      </c>
      <c r="I202" s="25"/>
      <c r="J202" s="52">
        <f>34.776*1.50943396226415</f>
        <v>52.492075471698087</v>
      </c>
      <c r="K202" s="240">
        <f>+J202*E202</f>
        <v>209.96830188679235</v>
      </c>
      <c r="L202" s="219"/>
      <c r="M202" s="245" t="s">
        <v>87</v>
      </c>
    </row>
    <row r="203" spans="1:13">
      <c r="A203" s="35" t="s">
        <v>194</v>
      </c>
      <c r="B203" s="7" t="s">
        <v>195</v>
      </c>
      <c r="C203" s="26" t="s">
        <v>196</v>
      </c>
      <c r="D203" s="25"/>
      <c r="E203" s="66">
        <v>1</v>
      </c>
      <c r="F203" s="66">
        <f>36.96*1.50943396226415</f>
        <v>55.788679245282985</v>
      </c>
      <c r="G203" s="66">
        <f t="shared" si="16"/>
        <v>55.788679245282985</v>
      </c>
      <c r="H203" s="239">
        <f t="shared" si="15"/>
        <v>55.788679245282985</v>
      </c>
      <c r="I203" s="85"/>
      <c r="J203" s="240">
        <f>36.96*1.50943396226415</f>
        <v>55.788679245282985</v>
      </c>
      <c r="K203" s="240">
        <f>E203*J203</f>
        <v>55.788679245282985</v>
      </c>
      <c r="L203" s="219"/>
      <c r="M203" s="245" t="s">
        <v>20</v>
      </c>
    </row>
    <row r="204" spans="1:13">
      <c r="A204" s="35" t="s">
        <v>194</v>
      </c>
      <c r="B204" s="7" t="s">
        <v>195</v>
      </c>
      <c r="C204" s="26" t="s">
        <v>196</v>
      </c>
      <c r="D204" s="25" t="s">
        <v>147</v>
      </c>
      <c r="E204" s="66">
        <v>1</v>
      </c>
      <c r="F204" s="25">
        <f>35.2*8000/5300</f>
        <v>53.132075471698116</v>
      </c>
      <c r="G204" s="25">
        <f t="shared" si="16"/>
        <v>53.132075471698116</v>
      </c>
      <c r="H204" s="238">
        <f t="shared" si="15"/>
        <v>53.132075471698116</v>
      </c>
      <c r="I204" s="25"/>
      <c r="J204" s="52">
        <f>35.2*8000/5300</f>
        <v>53.132075471698116</v>
      </c>
      <c r="K204" s="240">
        <f>J204*E204</f>
        <v>53.132075471698116</v>
      </c>
      <c r="L204" s="219"/>
      <c r="M204" s="245" t="s">
        <v>89</v>
      </c>
    </row>
    <row r="205" spans="1:13">
      <c r="A205" s="218" t="s">
        <v>194</v>
      </c>
      <c r="B205" s="7" t="s">
        <v>195</v>
      </c>
      <c r="C205" s="26" t="s">
        <v>196</v>
      </c>
      <c r="D205" s="25" t="s">
        <v>147</v>
      </c>
      <c r="E205" s="66">
        <v>1</v>
      </c>
      <c r="F205" s="25">
        <f>35.2*8000/5300</f>
        <v>53.132075471698116</v>
      </c>
      <c r="G205" s="25">
        <f t="shared" si="16"/>
        <v>53.132075471698116</v>
      </c>
      <c r="H205" s="238">
        <f t="shared" si="15"/>
        <v>53.132075471698116</v>
      </c>
      <c r="I205" s="25"/>
      <c r="J205" s="240">
        <f>35.2*8000/5300</f>
        <v>53.132075471698116</v>
      </c>
      <c r="K205" s="25">
        <f>J205*I205</f>
        <v>0</v>
      </c>
      <c r="L205" s="240">
        <f>+J205*E205</f>
        <v>53.132075471698116</v>
      </c>
      <c r="M205" s="245" t="s">
        <v>117</v>
      </c>
    </row>
    <row r="206" spans="1:13">
      <c r="A206" s="35" t="s">
        <v>194</v>
      </c>
      <c r="B206" s="7" t="s">
        <v>195</v>
      </c>
      <c r="C206" s="26" t="s">
        <v>196</v>
      </c>
      <c r="D206" s="25"/>
      <c r="E206" s="25">
        <v>1</v>
      </c>
      <c r="F206" s="25">
        <f>35.2*8000/5300</f>
        <v>53.132075471698116</v>
      </c>
      <c r="G206" s="25">
        <f t="shared" si="16"/>
        <v>53.132075471698116</v>
      </c>
      <c r="H206" s="238">
        <f t="shared" si="15"/>
        <v>53.132075471698116</v>
      </c>
      <c r="I206" s="25"/>
      <c r="J206" s="52">
        <f>35.2*8000/5300</f>
        <v>53.132075471698116</v>
      </c>
      <c r="K206" s="25">
        <f>J206*I206</f>
        <v>0</v>
      </c>
      <c r="L206" s="240">
        <f>+J206*E206</f>
        <v>53.132075471698116</v>
      </c>
      <c r="M206" s="245" t="s">
        <v>118</v>
      </c>
    </row>
    <row r="207" spans="1:13">
      <c r="A207" s="218" t="s">
        <v>194</v>
      </c>
      <c r="B207" s="7" t="s">
        <v>195</v>
      </c>
      <c r="C207" s="26" t="s">
        <v>196</v>
      </c>
      <c r="D207" s="25" t="s">
        <v>147</v>
      </c>
      <c r="E207" s="66">
        <v>1</v>
      </c>
      <c r="F207" s="233">
        <f>35.2*8000/5300</f>
        <v>53.132075471698116</v>
      </c>
      <c r="G207" s="25">
        <f t="shared" si="16"/>
        <v>53.132075471698116</v>
      </c>
      <c r="H207" s="238">
        <f t="shared" si="15"/>
        <v>53.132075471698116</v>
      </c>
      <c r="I207" s="25"/>
      <c r="J207" s="84">
        <f>35.2*8000/5300</f>
        <v>53.132075471698116</v>
      </c>
      <c r="K207" s="52">
        <f>+J207*E207</f>
        <v>53.132075471698116</v>
      </c>
      <c r="L207" s="219"/>
      <c r="M207" s="245" t="s">
        <v>23</v>
      </c>
    </row>
    <row r="208" spans="1:13">
      <c r="A208" s="218" t="s">
        <v>194</v>
      </c>
      <c r="B208" s="7" t="s">
        <v>195</v>
      </c>
      <c r="C208" s="26" t="s">
        <v>196</v>
      </c>
      <c r="D208" s="25" t="s">
        <v>175</v>
      </c>
      <c r="E208" s="66">
        <v>1</v>
      </c>
      <c r="F208" s="53">
        <f>36.96*1.50943396226415</f>
        <v>55.788679245282985</v>
      </c>
      <c r="G208" s="66">
        <f t="shared" si="16"/>
        <v>55.788679245282985</v>
      </c>
      <c r="H208" s="238">
        <f t="shared" si="15"/>
        <v>55.788679245282985</v>
      </c>
      <c r="I208" s="25"/>
      <c r="J208" s="52">
        <f>36.96*1.50943396226415</f>
        <v>55.788679245282985</v>
      </c>
      <c r="K208" s="240">
        <f>+J208*E208</f>
        <v>55.788679245282985</v>
      </c>
      <c r="L208" s="219"/>
      <c r="M208" s="245" t="s">
        <v>87</v>
      </c>
    </row>
    <row r="209" spans="1:13">
      <c r="A209" s="218" t="s">
        <v>194</v>
      </c>
      <c r="B209" s="27" t="s">
        <v>197</v>
      </c>
      <c r="C209" s="43" t="s">
        <v>198</v>
      </c>
      <c r="D209" s="27" t="s">
        <v>147</v>
      </c>
      <c r="E209" s="42">
        <v>3</v>
      </c>
      <c r="F209" s="32">
        <f>80.16*1.50943396226415</f>
        <v>120.99622641509426</v>
      </c>
      <c r="G209" s="32">
        <f t="shared" si="16"/>
        <v>362.98867924528275</v>
      </c>
      <c r="H209" s="37">
        <f t="shared" si="15"/>
        <v>362.98867924528275</v>
      </c>
      <c r="I209" s="27"/>
      <c r="J209" s="37">
        <f>80.16*1.50943396226415</f>
        <v>120.99622641509426</v>
      </c>
      <c r="K209" s="32">
        <f t="shared" ref="K209:K214" si="17">J209*I209</f>
        <v>0</v>
      </c>
      <c r="L209" s="41">
        <f t="shared" ref="L209:L214" si="18">+J209*E209</f>
        <v>362.98867924528275</v>
      </c>
      <c r="M209" s="245" t="s">
        <v>30</v>
      </c>
    </row>
    <row r="210" spans="1:13">
      <c r="A210" s="218" t="s">
        <v>194</v>
      </c>
      <c r="B210" s="27" t="s">
        <v>197</v>
      </c>
      <c r="C210" s="29" t="s">
        <v>198</v>
      </c>
      <c r="D210" s="32" t="s">
        <v>147</v>
      </c>
      <c r="E210" s="229">
        <v>2</v>
      </c>
      <c r="F210" s="73">
        <f>80.16*1.50943396226415</f>
        <v>120.99622641509426</v>
      </c>
      <c r="G210" s="229">
        <f t="shared" si="16"/>
        <v>241.99245283018851</v>
      </c>
      <c r="H210" s="238">
        <f t="shared" si="15"/>
        <v>241.99245283018851</v>
      </c>
      <c r="I210" s="25"/>
      <c r="J210" s="86">
        <f>80.16*1.50943396226415</f>
        <v>120.99622641509426</v>
      </c>
      <c r="K210" s="229">
        <f t="shared" si="17"/>
        <v>0</v>
      </c>
      <c r="L210" s="52">
        <f t="shared" si="18"/>
        <v>241.99245283018851</v>
      </c>
      <c r="M210" s="245" t="s">
        <v>17</v>
      </c>
    </row>
    <row r="211" spans="1:13">
      <c r="A211" s="218" t="s">
        <v>191</v>
      </c>
      <c r="B211" s="27" t="s">
        <v>199</v>
      </c>
      <c r="C211" s="43" t="s">
        <v>200</v>
      </c>
      <c r="D211" s="27" t="s">
        <v>147</v>
      </c>
      <c r="E211" s="42">
        <v>1</v>
      </c>
      <c r="F211" s="32">
        <f>94.776*1.50943396226415</f>
        <v>143.05811320754708</v>
      </c>
      <c r="G211" s="32">
        <f t="shared" si="16"/>
        <v>143.05811320754708</v>
      </c>
      <c r="H211" s="37">
        <f t="shared" si="15"/>
        <v>143.05811320754708</v>
      </c>
      <c r="I211" s="27"/>
      <c r="J211" s="37">
        <f>94.776*1.50943396226415</f>
        <v>143.05811320754708</v>
      </c>
      <c r="K211" s="27">
        <f t="shared" si="17"/>
        <v>0</v>
      </c>
      <c r="L211" s="41">
        <f t="shared" si="18"/>
        <v>143.05811320754708</v>
      </c>
      <c r="M211" s="245" t="s">
        <v>30</v>
      </c>
    </row>
    <row r="212" spans="1:13">
      <c r="A212" s="218" t="s">
        <v>191</v>
      </c>
      <c r="B212" s="27" t="s">
        <v>199</v>
      </c>
      <c r="C212" s="29" t="s">
        <v>200</v>
      </c>
      <c r="D212" s="32" t="s">
        <v>147</v>
      </c>
      <c r="E212" s="229">
        <v>1</v>
      </c>
      <c r="F212" s="73">
        <f>94.776*1.50943396226415</f>
        <v>143.05811320754708</v>
      </c>
      <c r="G212" s="229">
        <f t="shared" si="16"/>
        <v>143.05811320754708</v>
      </c>
      <c r="H212" s="238">
        <f t="shared" si="15"/>
        <v>143.05811320754708</v>
      </c>
      <c r="I212" s="25"/>
      <c r="J212" s="86">
        <f>94.776*1.50943396226415</f>
        <v>143.05811320754708</v>
      </c>
      <c r="K212" s="229">
        <f t="shared" si="17"/>
        <v>0</v>
      </c>
      <c r="L212" s="52">
        <f t="shared" si="18"/>
        <v>143.05811320754708</v>
      </c>
      <c r="M212" s="245" t="s">
        <v>17</v>
      </c>
    </row>
    <row r="213" spans="1:13">
      <c r="A213" s="218" t="s">
        <v>186</v>
      </c>
      <c r="B213" s="27" t="s">
        <v>201</v>
      </c>
      <c r="C213" s="43" t="s">
        <v>202</v>
      </c>
      <c r="D213" s="27" t="s">
        <v>147</v>
      </c>
      <c r="E213" s="42">
        <v>3</v>
      </c>
      <c r="F213" s="32">
        <f>80.16*1.50943396226415</f>
        <v>120.99622641509426</v>
      </c>
      <c r="G213" s="32">
        <f t="shared" si="16"/>
        <v>362.98867924528275</v>
      </c>
      <c r="H213" s="37">
        <f t="shared" si="15"/>
        <v>362.98867924528275</v>
      </c>
      <c r="I213" s="27"/>
      <c r="J213" s="37">
        <f>80.16*1.50943396226415</f>
        <v>120.99622641509426</v>
      </c>
      <c r="K213" s="27">
        <f t="shared" si="17"/>
        <v>0</v>
      </c>
      <c r="L213" s="41">
        <f t="shared" si="18"/>
        <v>362.98867924528275</v>
      </c>
      <c r="M213" s="245" t="s">
        <v>30</v>
      </c>
    </row>
    <row r="214" spans="1:13">
      <c r="A214" s="218" t="s">
        <v>186</v>
      </c>
      <c r="B214" s="27" t="s">
        <v>201</v>
      </c>
      <c r="C214" s="29" t="s">
        <v>202</v>
      </c>
      <c r="D214" s="32" t="s">
        <v>147</v>
      </c>
      <c r="E214" s="229">
        <v>3</v>
      </c>
      <c r="F214" s="73">
        <f>80.16*1.50943396226415</f>
        <v>120.99622641509426</v>
      </c>
      <c r="G214" s="229">
        <f t="shared" si="16"/>
        <v>362.98867924528275</v>
      </c>
      <c r="H214" s="238">
        <f t="shared" si="15"/>
        <v>362.98867924528275</v>
      </c>
      <c r="I214" s="25"/>
      <c r="J214" s="86">
        <f>80.16*1.50943396226415</f>
        <v>120.99622641509426</v>
      </c>
      <c r="K214" s="229">
        <f t="shared" si="17"/>
        <v>0</v>
      </c>
      <c r="L214" s="52">
        <f t="shared" si="18"/>
        <v>362.98867924528275</v>
      </c>
      <c r="M214" s="245" t="s">
        <v>17</v>
      </c>
    </row>
    <row r="215" spans="1:13">
      <c r="A215" s="35">
        <v>5.0999999999999996</v>
      </c>
      <c r="B215" s="27" t="s">
        <v>203</v>
      </c>
      <c r="C215" s="26" t="s">
        <v>204</v>
      </c>
      <c r="D215" s="25" t="s">
        <v>147</v>
      </c>
      <c r="E215" s="66"/>
      <c r="F215" s="66">
        <v>0</v>
      </c>
      <c r="G215" s="66">
        <f t="shared" si="16"/>
        <v>0</v>
      </c>
      <c r="H215" s="239">
        <f t="shared" si="15"/>
        <v>0</v>
      </c>
      <c r="I215" s="85"/>
      <c r="J215" s="240"/>
      <c r="K215" s="240"/>
      <c r="L215" s="219"/>
      <c r="M215" s="245" t="s">
        <v>20</v>
      </c>
    </row>
    <row r="216" spans="1:13">
      <c r="A216" s="35">
        <v>5.0999999999999996</v>
      </c>
      <c r="B216" s="27" t="s">
        <v>203</v>
      </c>
      <c r="C216" s="26" t="s">
        <v>204</v>
      </c>
      <c r="D216" s="25"/>
      <c r="E216" s="66"/>
      <c r="F216" s="25"/>
      <c r="G216" s="25">
        <f t="shared" si="16"/>
        <v>0</v>
      </c>
      <c r="H216" s="238"/>
      <c r="I216" s="25"/>
      <c r="J216" s="52"/>
      <c r="K216" s="240"/>
      <c r="L216" s="219"/>
      <c r="M216" s="245" t="s">
        <v>89</v>
      </c>
    </row>
    <row r="217" spans="1:13">
      <c r="A217" s="218">
        <v>5.0999999999999996</v>
      </c>
      <c r="B217" s="27" t="s">
        <v>203</v>
      </c>
      <c r="C217" s="26" t="s">
        <v>204</v>
      </c>
      <c r="D217" s="25"/>
      <c r="E217" s="66"/>
      <c r="F217" s="25"/>
      <c r="G217" s="25">
        <f t="shared" si="16"/>
        <v>0</v>
      </c>
      <c r="H217" s="238">
        <f>+F217*E217</f>
        <v>0</v>
      </c>
      <c r="I217" s="25"/>
      <c r="J217" s="240"/>
      <c r="K217" s="25">
        <f>J217*I217</f>
        <v>0</v>
      </c>
      <c r="L217" s="240"/>
      <c r="M217" s="245" t="s">
        <v>117</v>
      </c>
    </row>
    <row r="218" spans="1:13">
      <c r="A218" s="35">
        <v>5.0999999999999996</v>
      </c>
      <c r="B218" s="27" t="s">
        <v>203</v>
      </c>
      <c r="C218" s="26" t="s">
        <v>204</v>
      </c>
      <c r="D218" s="25" t="s">
        <v>147</v>
      </c>
      <c r="E218" s="25">
        <v>1</v>
      </c>
      <c r="F218" s="25"/>
      <c r="G218" s="25">
        <f t="shared" si="16"/>
        <v>0</v>
      </c>
      <c r="H218" s="238">
        <f>+F218*E218</f>
        <v>0</v>
      </c>
      <c r="I218" s="25"/>
      <c r="J218" s="52"/>
      <c r="K218" s="25">
        <f>J218*I218</f>
        <v>0</v>
      </c>
      <c r="L218" s="240"/>
      <c r="M218" s="245" t="s">
        <v>118</v>
      </c>
    </row>
    <row r="219" spans="1:13">
      <c r="A219" s="218">
        <v>5.0999999999999996</v>
      </c>
      <c r="B219" s="27" t="s">
        <v>203</v>
      </c>
      <c r="C219" s="26" t="s">
        <v>204</v>
      </c>
      <c r="D219" s="25"/>
      <c r="E219" s="66"/>
      <c r="F219" s="233"/>
      <c r="G219" s="25">
        <f t="shared" si="16"/>
        <v>0</v>
      </c>
      <c r="H219" s="238">
        <f>+F219*E219</f>
        <v>0</v>
      </c>
      <c r="I219" s="25"/>
      <c r="J219" s="84"/>
      <c r="K219" s="52"/>
      <c r="L219" s="219"/>
      <c r="M219" s="245" t="s">
        <v>23</v>
      </c>
    </row>
    <row r="220" spans="1:13">
      <c r="A220" s="218">
        <v>5.0999999999999996</v>
      </c>
      <c r="B220" s="27" t="s">
        <v>203</v>
      </c>
      <c r="C220" s="43" t="s">
        <v>204</v>
      </c>
      <c r="D220" s="27"/>
      <c r="E220" s="42"/>
      <c r="F220" s="32"/>
      <c r="G220" s="32">
        <f t="shared" si="16"/>
        <v>0</v>
      </c>
      <c r="H220" s="37">
        <f>+F220*E220</f>
        <v>0</v>
      </c>
      <c r="I220" s="27"/>
      <c r="J220" s="37"/>
      <c r="K220" s="27"/>
      <c r="L220" s="41"/>
      <c r="M220" s="245" t="s">
        <v>30</v>
      </c>
    </row>
    <row r="221" spans="1:13">
      <c r="A221" s="218">
        <v>5.0999999999999996</v>
      </c>
      <c r="B221" s="27" t="s">
        <v>203</v>
      </c>
      <c r="C221" s="26" t="s">
        <v>204</v>
      </c>
      <c r="D221" s="25"/>
      <c r="E221" s="66"/>
      <c r="F221" s="53"/>
      <c r="G221" s="66">
        <f t="shared" si="16"/>
        <v>0</v>
      </c>
      <c r="H221" s="238">
        <f>+F221*E221</f>
        <v>0</v>
      </c>
      <c r="I221" s="25"/>
      <c r="J221" s="52"/>
      <c r="K221" s="240"/>
      <c r="L221" s="219"/>
      <c r="M221" s="245" t="s">
        <v>87</v>
      </c>
    </row>
    <row r="222" spans="1:13">
      <c r="A222" s="218">
        <v>5.0999999999999996</v>
      </c>
      <c r="B222" s="27" t="s">
        <v>203</v>
      </c>
      <c r="C222" s="29" t="s">
        <v>204</v>
      </c>
      <c r="D222" s="32"/>
      <c r="E222" s="229"/>
      <c r="F222" s="73"/>
      <c r="G222" s="229"/>
      <c r="H222" s="238"/>
      <c r="I222" s="25"/>
      <c r="J222" s="86"/>
      <c r="K222" s="229"/>
      <c r="L222" s="52"/>
      <c r="M222" s="245" t="s">
        <v>17</v>
      </c>
    </row>
    <row r="223" spans="1:13">
      <c r="A223" s="282">
        <v>1</v>
      </c>
      <c r="B223" s="39" t="s">
        <v>205</v>
      </c>
      <c r="C223" s="6" t="s">
        <v>206</v>
      </c>
      <c r="D223" s="25"/>
      <c r="E223" s="66"/>
      <c r="F223" s="25"/>
      <c r="G223" s="25">
        <f t="shared" ref="G223:G254" si="19">F223*E223</f>
        <v>0</v>
      </c>
      <c r="H223" s="239"/>
      <c r="I223" s="85"/>
      <c r="J223" s="52"/>
      <c r="K223" s="240"/>
      <c r="L223" s="219"/>
      <c r="M223" s="245" t="s">
        <v>20</v>
      </c>
    </row>
    <row r="224" spans="1:13">
      <c r="A224" s="282">
        <v>1</v>
      </c>
      <c r="B224" s="39" t="s">
        <v>205</v>
      </c>
      <c r="C224" s="6" t="s">
        <v>206</v>
      </c>
      <c r="D224" s="25"/>
      <c r="E224" s="66"/>
      <c r="F224" s="25"/>
      <c r="G224" s="25">
        <f t="shared" si="19"/>
        <v>0</v>
      </c>
      <c r="H224" s="238"/>
      <c r="I224" s="25"/>
      <c r="J224" s="52"/>
      <c r="K224" s="52"/>
      <c r="L224" s="219"/>
      <c r="M224" s="245" t="s">
        <v>89</v>
      </c>
    </row>
    <row r="225" spans="1:13">
      <c r="A225" s="151">
        <v>1</v>
      </c>
      <c r="B225" s="39" t="s">
        <v>205</v>
      </c>
      <c r="C225" s="6" t="s">
        <v>206</v>
      </c>
      <c r="D225" s="25"/>
      <c r="E225" s="66"/>
      <c r="F225" s="25"/>
      <c r="G225" s="25">
        <f t="shared" si="19"/>
        <v>0</v>
      </c>
      <c r="H225" s="238"/>
      <c r="I225" s="25"/>
      <c r="J225" s="240"/>
      <c r="K225" s="25">
        <f>J225*I225</f>
        <v>0</v>
      </c>
      <c r="L225" s="240"/>
      <c r="M225" s="245" t="s">
        <v>117</v>
      </c>
    </row>
    <row r="226" spans="1:13">
      <c r="A226" s="282">
        <v>1</v>
      </c>
      <c r="B226" s="39" t="s">
        <v>205</v>
      </c>
      <c r="C226" s="6" t="s">
        <v>206</v>
      </c>
      <c r="D226" s="25"/>
      <c r="E226" s="25"/>
      <c r="F226" s="25"/>
      <c r="G226" s="25">
        <f t="shared" si="19"/>
        <v>0</v>
      </c>
      <c r="H226" s="238"/>
      <c r="I226" s="25"/>
      <c r="J226" s="52"/>
      <c r="K226" s="25">
        <f>J226*I226</f>
        <v>0</v>
      </c>
      <c r="L226" s="52"/>
      <c r="M226" s="245" t="s">
        <v>118</v>
      </c>
    </row>
    <row r="227" spans="1:13">
      <c r="A227" s="151">
        <v>1</v>
      </c>
      <c r="B227" s="39" t="s">
        <v>205</v>
      </c>
      <c r="C227" s="6" t="s">
        <v>206</v>
      </c>
      <c r="D227" s="25"/>
      <c r="E227" s="66"/>
      <c r="F227" s="233"/>
      <c r="G227" s="25">
        <f t="shared" si="19"/>
        <v>0</v>
      </c>
      <c r="H227" s="238"/>
      <c r="I227" s="25"/>
      <c r="J227" s="84"/>
      <c r="K227" s="52"/>
      <c r="L227" s="219"/>
      <c r="M227" s="245" t="s">
        <v>23</v>
      </c>
    </row>
    <row r="228" spans="1:13">
      <c r="A228" s="218">
        <v>1</v>
      </c>
      <c r="B228" s="39" t="s">
        <v>205</v>
      </c>
      <c r="C228" s="44" t="s">
        <v>206</v>
      </c>
      <c r="D228" s="32"/>
      <c r="E228" s="33"/>
      <c r="F228" s="32"/>
      <c r="G228" s="32">
        <f t="shared" si="19"/>
        <v>0</v>
      </c>
      <c r="H228" s="37"/>
      <c r="I228" s="27"/>
      <c r="J228" s="37"/>
      <c r="K228" s="32">
        <f>J228*I228</f>
        <v>0</v>
      </c>
      <c r="L228" s="27"/>
      <c r="M228" s="245" t="s">
        <v>30</v>
      </c>
    </row>
    <row r="229" spans="1:13" s="340" customFormat="1">
      <c r="A229" s="151">
        <v>1</v>
      </c>
      <c r="B229" s="39" t="s">
        <v>205</v>
      </c>
      <c r="C229" s="6" t="s">
        <v>206</v>
      </c>
      <c r="D229" s="25"/>
      <c r="E229" s="66"/>
      <c r="F229" s="25"/>
      <c r="G229" s="66">
        <f t="shared" si="19"/>
        <v>0</v>
      </c>
      <c r="H229" s="238"/>
      <c r="I229" s="25"/>
      <c r="J229" s="52"/>
      <c r="K229" s="240"/>
      <c r="L229" s="219"/>
      <c r="M229" s="245" t="s">
        <v>87</v>
      </c>
    </row>
    <row r="230" spans="1:13" s="340" customFormat="1">
      <c r="A230" s="151">
        <v>1</v>
      </c>
      <c r="B230" s="39" t="s">
        <v>205</v>
      </c>
      <c r="C230" s="34" t="s">
        <v>206</v>
      </c>
      <c r="D230" s="32"/>
      <c r="E230" s="229"/>
      <c r="F230" s="32"/>
      <c r="G230" s="229">
        <f t="shared" si="19"/>
        <v>0</v>
      </c>
      <c r="H230" s="25"/>
      <c r="I230" s="25"/>
      <c r="J230" s="86"/>
      <c r="K230" s="229">
        <f>J230*I230</f>
        <v>0</v>
      </c>
      <c r="L230" s="52"/>
      <c r="M230" s="245" t="s">
        <v>17</v>
      </c>
    </row>
    <row r="231" spans="1:13">
      <c r="A231" s="151">
        <v>2</v>
      </c>
      <c r="B231" s="5" t="s">
        <v>205</v>
      </c>
      <c r="C231" s="6" t="s">
        <v>206</v>
      </c>
      <c r="D231" s="55"/>
      <c r="E231" s="66"/>
      <c r="F231" s="25"/>
      <c r="G231" s="25">
        <f t="shared" si="19"/>
        <v>0</v>
      </c>
      <c r="H231" s="238">
        <f>+F231*E231</f>
        <v>0</v>
      </c>
      <c r="I231" s="51"/>
      <c r="J231" s="52"/>
      <c r="K231" s="53">
        <f>J231*I231</f>
        <v>0</v>
      </c>
      <c r="L231" s="52"/>
      <c r="M231" s="245" t="s">
        <v>93</v>
      </c>
    </row>
    <row r="232" spans="1:13">
      <c r="A232" s="151">
        <v>2</v>
      </c>
      <c r="B232" s="5" t="s">
        <v>205</v>
      </c>
      <c r="C232" s="34" t="s">
        <v>206</v>
      </c>
      <c r="D232" s="32"/>
      <c r="E232" s="229"/>
      <c r="F232" s="32"/>
      <c r="G232" s="32">
        <f t="shared" si="19"/>
        <v>0</v>
      </c>
      <c r="H232" s="238"/>
      <c r="I232" s="25"/>
      <c r="J232" s="86"/>
      <c r="K232" s="32">
        <f>J232*I232</f>
        <v>0</v>
      </c>
      <c r="L232" s="52"/>
      <c r="M232" s="245" t="s">
        <v>15</v>
      </c>
    </row>
    <row r="233" spans="1:13">
      <c r="A233" s="35">
        <v>1.1000000000000001</v>
      </c>
      <c r="B233" s="7" t="s">
        <v>207</v>
      </c>
      <c r="C233" s="26" t="s">
        <v>208</v>
      </c>
      <c r="D233" s="25"/>
      <c r="E233" s="66"/>
      <c r="F233" s="25"/>
      <c r="G233" s="25">
        <f t="shared" si="19"/>
        <v>0</v>
      </c>
      <c r="H233" s="239"/>
      <c r="I233" s="85"/>
      <c r="J233" s="52"/>
      <c r="K233" s="240"/>
      <c r="L233" s="219"/>
      <c r="M233" s="245" t="s">
        <v>20</v>
      </c>
    </row>
    <row r="234" spans="1:13">
      <c r="A234" s="35">
        <v>1.1000000000000001</v>
      </c>
      <c r="B234" s="7" t="s">
        <v>207</v>
      </c>
      <c r="C234" s="26" t="s">
        <v>208</v>
      </c>
      <c r="D234" s="25"/>
      <c r="E234" s="66"/>
      <c r="F234" s="25"/>
      <c r="G234" s="25">
        <f t="shared" si="19"/>
        <v>0</v>
      </c>
      <c r="H234" s="238"/>
      <c r="I234" s="25"/>
      <c r="J234" s="52"/>
      <c r="K234" s="52"/>
      <c r="L234" s="219"/>
      <c r="M234" s="245" t="s">
        <v>89</v>
      </c>
    </row>
    <row r="235" spans="1:13">
      <c r="A235" s="218">
        <v>1.1000000000000001</v>
      </c>
      <c r="B235" s="7" t="s">
        <v>207</v>
      </c>
      <c r="C235" s="26" t="s">
        <v>208</v>
      </c>
      <c r="D235" s="25"/>
      <c r="E235" s="66"/>
      <c r="F235" s="25"/>
      <c r="G235" s="25">
        <f t="shared" si="19"/>
        <v>0</v>
      </c>
      <c r="H235" s="238"/>
      <c r="I235" s="25"/>
      <c r="J235" s="240"/>
      <c r="K235" s="25">
        <f>J235*I235</f>
        <v>0</v>
      </c>
      <c r="L235" s="240"/>
      <c r="M235" s="245" t="s">
        <v>117</v>
      </c>
    </row>
    <row r="236" spans="1:13">
      <c r="A236" s="35">
        <v>1.1000000000000001</v>
      </c>
      <c r="B236" s="7" t="s">
        <v>207</v>
      </c>
      <c r="C236" s="26" t="s">
        <v>208</v>
      </c>
      <c r="D236" s="25"/>
      <c r="E236" s="25"/>
      <c r="F236" s="25"/>
      <c r="G236" s="25">
        <f t="shared" si="19"/>
        <v>0</v>
      </c>
      <c r="H236" s="238"/>
      <c r="I236" s="25"/>
      <c r="J236" s="52"/>
      <c r="K236" s="25">
        <f>J236*I236</f>
        <v>0</v>
      </c>
      <c r="L236" s="52"/>
      <c r="M236" s="245" t="s">
        <v>118</v>
      </c>
    </row>
    <row r="237" spans="1:13">
      <c r="A237" s="218">
        <v>1.1000000000000001</v>
      </c>
      <c r="B237" s="7" t="s">
        <v>207</v>
      </c>
      <c r="C237" s="26" t="s">
        <v>208</v>
      </c>
      <c r="D237" s="25"/>
      <c r="E237" s="66"/>
      <c r="F237" s="233"/>
      <c r="G237" s="25">
        <f t="shared" si="19"/>
        <v>0</v>
      </c>
      <c r="H237" s="238"/>
      <c r="I237" s="25"/>
      <c r="J237" s="84"/>
      <c r="K237" s="52"/>
      <c r="L237" s="219"/>
      <c r="M237" s="245" t="s">
        <v>23</v>
      </c>
    </row>
    <row r="238" spans="1:13">
      <c r="A238" s="218">
        <v>1.1000000000000001</v>
      </c>
      <c r="B238" s="7" t="s">
        <v>207</v>
      </c>
      <c r="C238" s="43" t="s">
        <v>208</v>
      </c>
      <c r="D238" s="32"/>
      <c r="E238" s="33"/>
      <c r="F238" s="32"/>
      <c r="G238" s="32">
        <f t="shared" si="19"/>
        <v>0</v>
      </c>
      <c r="H238" s="37"/>
      <c r="I238" s="27"/>
      <c r="J238" s="37"/>
      <c r="K238" s="27">
        <f>J238*I238</f>
        <v>0</v>
      </c>
      <c r="L238" s="27"/>
      <c r="M238" s="245" t="s">
        <v>30</v>
      </c>
    </row>
    <row r="239" spans="1:13">
      <c r="A239" s="218">
        <v>1.1000000000000001</v>
      </c>
      <c r="B239" s="7" t="s">
        <v>207</v>
      </c>
      <c r="C239" s="26" t="s">
        <v>208</v>
      </c>
      <c r="D239" s="25"/>
      <c r="E239" s="66"/>
      <c r="F239" s="25"/>
      <c r="G239" s="66">
        <f t="shared" si="19"/>
        <v>0</v>
      </c>
      <c r="H239" s="238"/>
      <c r="I239" s="25"/>
      <c r="J239" s="52"/>
      <c r="K239" s="240"/>
      <c r="L239" s="219"/>
      <c r="M239" s="245" t="s">
        <v>87</v>
      </c>
    </row>
    <row r="240" spans="1:13">
      <c r="A240" s="218">
        <v>1.1000000000000001</v>
      </c>
      <c r="B240" s="7" t="s">
        <v>207</v>
      </c>
      <c r="C240" s="29" t="s">
        <v>208</v>
      </c>
      <c r="D240" s="32"/>
      <c r="E240" s="229"/>
      <c r="F240" s="32"/>
      <c r="G240" s="229">
        <f t="shared" si="19"/>
        <v>0</v>
      </c>
      <c r="H240" s="25"/>
      <c r="I240" s="25"/>
      <c r="J240" s="86"/>
      <c r="K240" s="229">
        <f t="shared" ref="K240:K248" si="20">J240*I240</f>
        <v>0</v>
      </c>
      <c r="L240" s="52"/>
      <c r="M240" s="245" t="s">
        <v>17</v>
      </c>
    </row>
    <row r="241" spans="1:13">
      <c r="A241" s="218">
        <v>2.1</v>
      </c>
      <c r="B241" s="27" t="s">
        <v>207</v>
      </c>
      <c r="C241" s="26" t="s">
        <v>208</v>
      </c>
      <c r="D241" s="55"/>
      <c r="E241" s="66"/>
      <c r="F241" s="25"/>
      <c r="G241" s="25">
        <f t="shared" si="19"/>
        <v>0</v>
      </c>
      <c r="H241" s="238">
        <f>+F241*E241</f>
        <v>0</v>
      </c>
      <c r="I241" s="51"/>
      <c r="J241" s="52"/>
      <c r="K241" s="53">
        <f t="shared" si="20"/>
        <v>0</v>
      </c>
      <c r="L241" s="52"/>
      <c r="M241" s="245" t="s">
        <v>93</v>
      </c>
    </row>
    <row r="242" spans="1:13">
      <c r="A242" s="218">
        <v>2.1</v>
      </c>
      <c r="B242" s="27" t="s">
        <v>207</v>
      </c>
      <c r="C242" s="29" t="s">
        <v>208</v>
      </c>
      <c r="D242" s="32"/>
      <c r="E242" s="229"/>
      <c r="F242" s="32"/>
      <c r="G242" s="32">
        <f t="shared" si="19"/>
        <v>0</v>
      </c>
      <c r="H242" s="238"/>
      <c r="I242" s="25"/>
      <c r="J242" s="86"/>
      <c r="K242" s="32">
        <f t="shared" si="20"/>
        <v>0</v>
      </c>
      <c r="L242" s="52"/>
      <c r="M242" s="245" t="s">
        <v>15</v>
      </c>
    </row>
    <row r="243" spans="1:13">
      <c r="A243" s="218" t="s">
        <v>209</v>
      </c>
      <c r="B243" s="7" t="s">
        <v>210</v>
      </c>
      <c r="C243" s="43" t="s">
        <v>211</v>
      </c>
      <c r="D243" s="27" t="s">
        <v>147</v>
      </c>
      <c r="E243" s="42">
        <v>5</v>
      </c>
      <c r="F243" s="32">
        <f>65.09*1.50943396226415</f>
        <v>98.249056603773525</v>
      </c>
      <c r="G243" s="32">
        <f t="shared" si="19"/>
        <v>491.24528301886761</v>
      </c>
      <c r="H243" s="37">
        <f t="shared" ref="H243:H257" si="21">+F243*E243</f>
        <v>491.24528301886761</v>
      </c>
      <c r="I243" s="27"/>
      <c r="J243" s="37">
        <f>65.09*1.50943396226415</f>
        <v>98.249056603773525</v>
      </c>
      <c r="K243" s="27">
        <f t="shared" si="20"/>
        <v>0</v>
      </c>
      <c r="L243" s="41">
        <f t="shared" ref="L243:L248" si="22">+J243*E243</f>
        <v>491.24528301886761</v>
      </c>
      <c r="M243" s="245" t="s">
        <v>30</v>
      </c>
    </row>
    <row r="244" spans="1:13">
      <c r="A244" s="218" t="s">
        <v>209</v>
      </c>
      <c r="B244" s="7" t="s">
        <v>210</v>
      </c>
      <c r="C244" s="29" t="s">
        <v>211</v>
      </c>
      <c r="D244" s="32" t="s">
        <v>147</v>
      </c>
      <c r="E244" s="229">
        <v>5</v>
      </c>
      <c r="F244" s="73">
        <f>65.09*1.50943396226415</f>
        <v>98.249056603773525</v>
      </c>
      <c r="G244" s="229">
        <f t="shared" si="19"/>
        <v>491.24528301886761</v>
      </c>
      <c r="H244" s="238">
        <f t="shared" si="21"/>
        <v>491.24528301886761</v>
      </c>
      <c r="I244" s="25"/>
      <c r="J244" s="86">
        <f>65.09*1.50943396226415</f>
        <v>98.249056603773525</v>
      </c>
      <c r="K244" s="229">
        <f t="shared" si="20"/>
        <v>0</v>
      </c>
      <c r="L244" s="52">
        <f t="shared" si="22"/>
        <v>491.24528301886761</v>
      </c>
      <c r="M244" s="245" t="s">
        <v>17</v>
      </c>
    </row>
    <row r="245" spans="1:13">
      <c r="A245" s="218" t="s">
        <v>212</v>
      </c>
      <c r="B245" s="27" t="s">
        <v>210</v>
      </c>
      <c r="C245" s="26" t="s">
        <v>213</v>
      </c>
      <c r="D245" s="55" t="s">
        <v>147</v>
      </c>
      <c r="E245" s="66">
        <v>4</v>
      </c>
      <c r="F245" s="25">
        <v>65.09</v>
      </c>
      <c r="G245" s="25">
        <f t="shared" si="19"/>
        <v>260.36</v>
      </c>
      <c r="H245" s="238">
        <f t="shared" si="21"/>
        <v>260.36</v>
      </c>
      <c r="I245" s="51"/>
      <c r="J245" s="52">
        <v>65.09</v>
      </c>
      <c r="K245" s="53">
        <f t="shared" si="20"/>
        <v>0</v>
      </c>
      <c r="L245" s="52">
        <f t="shared" si="22"/>
        <v>260.36</v>
      </c>
      <c r="M245" s="245" t="s">
        <v>93</v>
      </c>
    </row>
    <row r="246" spans="1:13">
      <c r="A246" s="218" t="s">
        <v>212</v>
      </c>
      <c r="B246" s="27" t="s">
        <v>210</v>
      </c>
      <c r="C246" s="29" t="s">
        <v>213</v>
      </c>
      <c r="D246" s="32" t="s">
        <v>147</v>
      </c>
      <c r="E246" s="229">
        <v>1</v>
      </c>
      <c r="F246" s="32">
        <f>65.09*8000/5300</f>
        <v>98.249056603773582</v>
      </c>
      <c r="G246" s="32">
        <f t="shared" si="19"/>
        <v>98.249056603773582</v>
      </c>
      <c r="H246" s="238">
        <f t="shared" si="21"/>
        <v>98.249056603773582</v>
      </c>
      <c r="I246" s="25"/>
      <c r="J246" s="86">
        <f>65.09*8000/5300</f>
        <v>98.249056603773582</v>
      </c>
      <c r="K246" s="32">
        <f t="shared" si="20"/>
        <v>0</v>
      </c>
      <c r="L246" s="52">
        <f t="shared" si="22"/>
        <v>98.249056603773582</v>
      </c>
      <c r="M246" s="245" t="s">
        <v>15</v>
      </c>
    </row>
    <row r="247" spans="1:13">
      <c r="A247" s="218" t="s">
        <v>214</v>
      </c>
      <c r="B247" s="7" t="s">
        <v>215</v>
      </c>
      <c r="C247" s="26" t="s">
        <v>216</v>
      </c>
      <c r="D247" s="25" t="s">
        <v>147</v>
      </c>
      <c r="E247" s="66">
        <v>1</v>
      </c>
      <c r="F247" s="25">
        <f>65.09*8000/5300</f>
        <v>98.249056603773582</v>
      </c>
      <c r="G247" s="25">
        <f t="shared" si="19"/>
        <v>98.249056603773582</v>
      </c>
      <c r="H247" s="238">
        <f t="shared" si="21"/>
        <v>98.249056603773582</v>
      </c>
      <c r="I247" s="25"/>
      <c r="J247" s="240">
        <f>65.09*8000/5300</f>
        <v>98.249056603773582</v>
      </c>
      <c r="K247" s="25">
        <f t="shared" si="20"/>
        <v>0</v>
      </c>
      <c r="L247" s="240">
        <f t="shared" si="22"/>
        <v>98.249056603773582</v>
      </c>
      <c r="M247" s="245" t="s">
        <v>117</v>
      </c>
    </row>
    <row r="248" spans="1:13">
      <c r="A248" s="35" t="s">
        <v>214</v>
      </c>
      <c r="B248" s="7" t="s">
        <v>215</v>
      </c>
      <c r="C248" s="26" t="s">
        <v>216</v>
      </c>
      <c r="D248" s="25" t="s">
        <v>147</v>
      </c>
      <c r="E248" s="25">
        <v>2</v>
      </c>
      <c r="F248" s="25">
        <f>65.09*8000/5300</f>
        <v>98.249056603773582</v>
      </c>
      <c r="G248" s="25">
        <f t="shared" si="19"/>
        <v>196.49811320754716</v>
      </c>
      <c r="H248" s="238">
        <f t="shared" si="21"/>
        <v>196.49811320754716</v>
      </c>
      <c r="I248" s="25"/>
      <c r="J248" s="52">
        <f>65.09*8000/5300</f>
        <v>98.249056603773582</v>
      </c>
      <c r="K248" s="25">
        <f t="shared" si="20"/>
        <v>0</v>
      </c>
      <c r="L248" s="240">
        <f t="shared" si="22"/>
        <v>196.49811320754716</v>
      </c>
      <c r="M248" s="245" t="s">
        <v>118</v>
      </c>
    </row>
    <row r="249" spans="1:13">
      <c r="A249" s="218" t="s">
        <v>214</v>
      </c>
      <c r="B249" s="7" t="s">
        <v>215</v>
      </c>
      <c r="C249" s="26" t="s">
        <v>216</v>
      </c>
      <c r="D249" s="25" t="s">
        <v>147</v>
      </c>
      <c r="E249" s="66">
        <v>4</v>
      </c>
      <c r="F249" s="53">
        <f>68.3445*1.50943396226415</f>
        <v>103.16150943396219</v>
      </c>
      <c r="G249" s="66">
        <f t="shared" si="19"/>
        <v>412.64603773584878</v>
      </c>
      <c r="H249" s="238">
        <f t="shared" si="21"/>
        <v>412.64603773584878</v>
      </c>
      <c r="I249" s="25"/>
      <c r="J249" s="52">
        <f>68.3445*1.50943396226415</f>
        <v>103.16150943396219</v>
      </c>
      <c r="K249" s="240">
        <f>+J249*E249</f>
        <v>412.64603773584878</v>
      </c>
      <c r="L249" s="219"/>
      <c r="M249" s="245" t="s">
        <v>87</v>
      </c>
    </row>
    <row r="250" spans="1:13">
      <c r="A250" s="35" t="s">
        <v>214</v>
      </c>
      <c r="B250" s="7" t="s">
        <v>215</v>
      </c>
      <c r="C250" s="26" t="s">
        <v>217</v>
      </c>
      <c r="D250" s="25" t="s">
        <v>147</v>
      </c>
      <c r="E250" s="66">
        <v>1</v>
      </c>
      <c r="F250" s="66">
        <f>120.8445*1.5</f>
        <v>181.26675</v>
      </c>
      <c r="G250" s="66">
        <f t="shared" si="19"/>
        <v>181.26675</v>
      </c>
      <c r="H250" s="239">
        <f t="shared" si="21"/>
        <v>181.26675</v>
      </c>
      <c r="I250" s="85"/>
      <c r="J250" s="240">
        <f>120.8445*1.50943396226415</f>
        <v>182.40679245283008</v>
      </c>
      <c r="K250" s="240">
        <f>E250*J250</f>
        <v>182.40679245283008</v>
      </c>
      <c r="L250" s="219"/>
      <c r="M250" s="245" t="s">
        <v>20</v>
      </c>
    </row>
    <row r="251" spans="1:13">
      <c r="A251" s="35" t="s">
        <v>214</v>
      </c>
      <c r="B251" s="7" t="s">
        <v>215</v>
      </c>
      <c r="C251" s="26" t="s">
        <v>217</v>
      </c>
      <c r="D251" s="25" t="s">
        <v>147</v>
      </c>
      <c r="E251" s="66">
        <v>1</v>
      </c>
      <c r="F251" s="25">
        <f>115.09*8000/5300</f>
        <v>173.72075471698113</v>
      </c>
      <c r="G251" s="25">
        <f t="shared" si="19"/>
        <v>173.72075471698113</v>
      </c>
      <c r="H251" s="238">
        <f t="shared" si="21"/>
        <v>173.72075471698113</v>
      </c>
      <c r="I251" s="25"/>
      <c r="J251" s="52">
        <f>115.09*8000/5300</f>
        <v>173.72075471698113</v>
      </c>
      <c r="K251" s="240">
        <f>J251*E251</f>
        <v>173.72075471698113</v>
      </c>
      <c r="L251" s="219"/>
      <c r="M251" s="245" t="s">
        <v>89</v>
      </c>
    </row>
    <row r="252" spans="1:13">
      <c r="A252" s="218" t="s">
        <v>214</v>
      </c>
      <c r="B252" s="7" t="s">
        <v>215</v>
      </c>
      <c r="C252" s="26" t="s">
        <v>217</v>
      </c>
      <c r="D252" s="25" t="s">
        <v>147</v>
      </c>
      <c r="E252" s="66">
        <v>1</v>
      </c>
      <c r="F252" s="233">
        <f>115.09*8000/5300</f>
        <v>173.72075471698113</v>
      </c>
      <c r="G252" s="25">
        <f t="shared" si="19"/>
        <v>173.72075471698113</v>
      </c>
      <c r="H252" s="238">
        <f t="shared" si="21"/>
        <v>173.72075471698113</v>
      </c>
      <c r="I252" s="25"/>
      <c r="J252" s="84">
        <f>115.09*8000/5300</f>
        <v>173.72075471698113</v>
      </c>
      <c r="K252" s="52">
        <f>+J252*E252</f>
        <v>173.72075471698113</v>
      </c>
      <c r="L252" s="219"/>
      <c r="M252" s="245" t="s">
        <v>23</v>
      </c>
    </row>
    <row r="253" spans="1:13">
      <c r="A253" s="218" t="s">
        <v>214</v>
      </c>
      <c r="B253" s="7" t="s">
        <v>215</v>
      </c>
      <c r="C253" s="43" t="s">
        <v>217</v>
      </c>
      <c r="D253" s="27" t="s">
        <v>147</v>
      </c>
      <c r="E253" s="42">
        <v>1</v>
      </c>
      <c r="F253" s="32">
        <f>115.09*1.50943396226415</f>
        <v>173.72075471698102</v>
      </c>
      <c r="G253" s="32">
        <f t="shared" si="19"/>
        <v>173.72075471698102</v>
      </c>
      <c r="H253" s="37">
        <f t="shared" si="21"/>
        <v>173.72075471698102</v>
      </c>
      <c r="I253" s="27"/>
      <c r="J253" s="37">
        <f>115.09*1.50943396226415</f>
        <v>173.72075471698102</v>
      </c>
      <c r="K253" s="27">
        <f>J253*I253</f>
        <v>0</v>
      </c>
      <c r="L253" s="41">
        <f>+J253*E253</f>
        <v>173.72075471698102</v>
      </c>
      <c r="M253" s="245" t="s">
        <v>30</v>
      </c>
    </row>
    <row r="254" spans="1:13">
      <c r="A254" s="218" t="s">
        <v>214</v>
      </c>
      <c r="B254" s="7" t="s">
        <v>215</v>
      </c>
      <c r="C254" s="29" t="s">
        <v>217</v>
      </c>
      <c r="D254" s="32" t="s">
        <v>147</v>
      </c>
      <c r="E254" s="229">
        <v>1</v>
      </c>
      <c r="F254" s="73">
        <f>115.09*1.50943396226415</f>
        <v>173.72075471698102</v>
      </c>
      <c r="G254" s="229">
        <f t="shared" si="19"/>
        <v>173.72075471698102</v>
      </c>
      <c r="H254" s="238">
        <f t="shared" si="21"/>
        <v>173.72075471698102</v>
      </c>
      <c r="I254" s="25"/>
      <c r="J254" s="86">
        <f>115.09*1.50943396226415</f>
        <v>173.72075471698102</v>
      </c>
      <c r="K254" s="229">
        <f>J254*I254</f>
        <v>0</v>
      </c>
      <c r="L254" s="52">
        <f>+J254*E254</f>
        <v>173.72075471698102</v>
      </c>
      <c r="M254" s="245" t="s">
        <v>17</v>
      </c>
    </row>
    <row r="255" spans="1:13">
      <c r="A255" s="218">
        <v>1.2</v>
      </c>
      <c r="B255" s="7" t="s">
        <v>218</v>
      </c>
      <c r="C255" s="43" t="s">
        <v>219</v>
      </c>
      <c r="D255" s="27"/>
      <c r="E255" s="42"/>
      <c r="F255" s="32"/>
      <c r="G255" s="32">
        <f t="shared" ref="G255:G284" si="23">F255*E255</f>
        <v>0</v>
      </c>
      <c r="H255" s="37">
        <f t="shared" si="21"/>
        <v>0</v>
      </c>
      <c r="I255" s="27"/>
      <c r="J255" s="37"/>
      <c r="K255" s="32">
        <f>J255*I255</f>
        <v>0</v>
      </c>
      <c r="L255" s="41">
        <f>+J255*E255</f>
        <v>0</v>
      </c>
      <c r="M255" s="245" t="s">
        <v>30</v>
      </c>
    </row>
    <row r="256" spans="1:13">
      <c r="A256" s="218">
        <v>1.2</v>
      </c>
      <c r="B256" s="7" t="s">
        <v>218</v>
      </c>
      <c r="C256" s="29" t="s">
        <v>219</v>
      </c>
      <c r="D256" s="32"/>
      <c r="E256" s="229"/>
      <c r="F256" s="73">
        <v>0</v>
      </c>
      <c r="G256" s="229">
        <f t="shared" si="23"/>
        <v>0</v>
      </c>
      <c r="H256" s="238">
        <f t="shared" si="21"/>
        <v>0</v>
      </c>
      <c r="I256" s="25"/>
      <c r="J256" s="86"/>
      <c r="K256" s="229"/>
      <c r="L256" s="52"/>
      <c r="M256" s="245" t="s">
        <v>17</v>
      </c>
    </row>
    <row r="257" spans="1:13">
      <c r="A257" s="35">
        <v>1.2</v>
      </c>
      <c r="B257" s="7" t="s">
        <v>218</v>
      </c>
      <c r="C257" s="6" t="s">
        <v>220</v>
      </c>
      <c r="D257" s="25"/>
      <c r="E257" s="66"/>
      <c r="F257" s="66">
        <v>0</v>
      </c>
      <c r="G257" s="66">
        <f t="shared" si="23"/>
        <v>0</v>
      </c>
      <c r="H257" s="239">
        <f t="shared" si="21"/>
        <v>0</v>
      </c>
      <c r="I257" s="85"/>
      <c r="J257" s="240"/>
      <c r="K257" s="240"/>
      <c r="L257" s="219"/>
      <c r="M257" s="245" t="s">
        <v>20</v>
      </c>
    </row>
    <row r="258" spans="1:13">
      <c r="A258" s="35">
        <v>1.2</v>
      </c>
      <c r="B258" s="7" t="s">
        <v>218</v>
      </c>
      <c r="C258" s="26" t="s">
        <v>220</v>
      </c>
      <c r="D258" s="25"/>
      <c r="E258" s="66"/>
      <c r="F258" s="25"/>
      <c r="G258" s="25">
        <f t="shared" si="23"/>
        <v>0</v>
      </c>
      <c r="H258" s="238"/>
      <c r="I258" s="25"/>
      <c r="J258" s="52"/>
      <c r="K258" s="240"/>
      <c r="L258" s="219"/>
      <c r="M258" s="245" t="s">
        <v>89</v>
      </c>
    </row>
    <row r="259" spans="1:13">
      <c r="A259" s="218">
        <v>1.2</v>
      </c>
      <c r="B259" s="7" t="s">
        <v>218</v>
      </c>
      <c r="C259" s="26" t="s">
        <v>220</v>
      </c>
      <c r="D259" s="25"/>
      <c r="E259" s="66"/>
      <c r="F259" s="25"/>
      <c r="G259" s="25">
        <f t="shared" si="23"/>
        <v>0</v>
      </c>
      <c r="H259" s="238">
        <f t="shared" ref="H259:H282" si="24">+F259*E259</f>
        <v>0</v>
      </c>
      <c r="I259" s="25"/>
      <c r="J259" s="240"/>
      <c r="K259" s="25">
        <f>J259*I259</f>
        <v>0</v>
      </c>
      <c r="L259" s="240"/>
      <c r="M259" s="245" t="s">
        <v>117</v>
      </c>
    </row>
    <row r="260" spans="1:13">
      <c r="A260" s="35">
        <v>1.2</v>
      </c>
      <c r="B260" s="7" t="s">
        <v>218</v>
      </c>
      <c r="C260" s="6" t="s">
        <v>220</v>
      </c>
      <c r="D260" s="25"/>
      <c r="E260" s="25"/>
      <c r="F260" s="25"/>
      <c r="G260" s="25">
        <f t="shared" si="23"/>
        <v>0</v>
      </c>
      <c r="H260" s="238">
        <f t="shared" si="24"/>
        <v>0</v>
      </c>
      <c r="I260" s="25"/>
      <c r="J260" s="52"/>
      <c r="K260" s="25">
        <f>J260*I260</f>
        <v>0</v>
      </c>
      <c r="L260" s="240"/>
      <c r="M260" s="245" t="s">
        <v>118</v>
      </c>
    </row>
    <row r="261" spans="1:13">
      <c r="A261" s="218">
        <v>1.2</v>
      </c>
      <c r="B261" s="7" t="s">
        <v>218</v>
      </c>
      <c r="C261" s="26" t="s">
        <v>220</v>
      </c>
      <c r="D261" s="25"/>
      <c r="E261" s="66"/>
      <c r="F261" s="233"/>
      <c r="G261" s="25">
        <f t="shared" si="23"/>
        <v>0</v>
      </c>
      <c r="H261" s="238">
        <f t="shared" si="24"/>
        <v>0</v>
      </c>
      <c r="I261" s="25"/>
      <c r="J261" s="84"/>
      <c r="K261" s="52"/>
      <c r="L261" s="219"/>
      <c r="M261" s="245" t="s">
        <v>23</v>
      </c>
    </row>
    <row r="262" spans="1:13">
      <c r="A262" s="218">
        <v>1.2</v>
      </c>
      <c r="B262" s="7" t="s">
        <v>218</v>
      </c>
      <c r="C262" s="26" t="s">
        <v>220</v>
      </c>
      <c r="D262" s="25"/>
      <c r="E262" s="66"/>
      <c r="F262" s="53">
        <v>0</v>
      </c>
      <c r="G262" s="66">
        <f t="shared" si="23"/>
        <v>0</v>
      </c>
      <c r="H262" s="238">
        <f t="shared" si="24"/>
        <v>0</v>
      </c>
      <c r="I262" s="25"/>
      <c r="J262" s="52"/>
      <c r="K262" s="240"/>
      <c r="L262" s="219"/>
      <c r="M262" s="245" t="s">
        <v>87</v>
      </c>
    </row>
    <row r="263" spans="1:13">
      <c r="A263" s="218">
        <v>2.2000000000000002</v>
      </c>
      <c r="B263" s="27" t="s">
        <v>218</v>
      </c>
      <c r="C263" s="26" t="s">
        <v>220</v>
      </c>
      <c r="D263" s="55"/>
      <c r="E263" s="66"/>
      <c r="F263" s="25"/>
      <c r="G263" s="25">
        <f t="shared" si="23"/>
        <v>0</v>
      </c>
      <c r="H263" s="238">
        <f t="shared" si="24"/>
        <v>0</v>
      </c>
      <c r="I263" s="51"/>
      <c r="J263" s="52"/>
      <c r="K263" s="53">
        <f>J263*I263</f>
        <v>0</v>
      </c>
      <c r="L263" s="52"/>
      <c r="M263" s="245" t="s">
        <v>93</v>
      </c>
    </row>
    <row r="264" spans="1:13">
      <c r="A264" s="218">
        <v>2.2000000000000002</v>
      </c>
      <c r="B264" s="27" t="s">
        <v>221</v>
      </c>
      <c r="C264" s="29" t="s">
        <v>220</v>
      </c>
      <c r="D264" s="32"/>
      <c r="E264" s="229"/>
      <c r="F264" s="32"/>
      <c r="G264" s="32">
        <f t="shared" si="23"/>
        <v>0</v>
      </c>
      <c r="H264" s="238">
        <f t="shared" si="24"/>
        <v>0</v>
      </c>
      <c r="I264" s="25"/>
      <c r="J264" s="86"/>
      <c r="K264" s="32">
        <f>J264*I264</f>
        <v>0</v>
      </c>
      <c r="L264" s="52"/>
      <c r="M264" s="245" t="s">
        <v>15</v>
      </c>
    </row>
    <row r="265" spans="1:13">
      <c r="A265" s="35" t="s">
        <v>222</v>
      </c>
      <c r="B265" s="7" t="s">
        <v>221</v>
      </c>
      <c r="C265" s="26" t="s">
        <v>223</v>
      </c>
      <c r="D265" s="25" t="s">
        <v>224</v>
      </c>
      <c r="E265" s="66">
        <v>4</v>
      </c>
      <c r="F265" s="66">
        <f>516.6525*1.50943396226415</f>
        <v>779.85283018867881</v>
      </c>
      <c r="G265" s="66">
        <f t="shared" si="23"/>
        <v>3119.4113207547152</v>
      </c>
      <c r="H265" s="239">
        <f t="shared" si="24"/>
        <v>3119.4113207547152</v>
      </c>
      <c r="I265" s="85"/>
      <c r="J265" s="240">
        <f>516.6525*1.50943396226415</f>
        <v>779.85283018867881</v>
      </c>
      <c r="K265" s="240">
        <f>E265*J265</f>
        <v>3119.4113207547152</v>
      </c>
      <c r="L265" s="219"/>
      <c r="M265" s="245" t="s">
        <v>20</v>
      </c>
    </row>
    <row r="266" spans="1:13">
      <c r="A266" s="35" t="s">
        <v>222</v>
      </c>
      <c r="B266" s="7" t="s">
        <v>221</v>
      </c>
      <c r="C266" s="26" t="s">
        <v>223</v>
      </c>
      <c r="D266" s="25" t="s">
        <v>224</v>
      </c>
      <c r="E266" s="66">
        <v>3</v>
      </c>
      <c r="F266" s="25">
        <f>492.05*8000/5300</f>
        <v>742.71698113207549</v>
      </c>
      <c r="G266" s="25">
        <f t="shared" si="23"/>
        <v>2228.1509433962265</v>
      </c>
      <c r="H266" s="238">
        <f t="shared" si="24"/>
        <v>2228.1509433962265</v>
      </c>
      <c r="I266" s="25"/>
      <c r="J266" s="52">
        <f>492.05*8000/5300</f>
        <v>742.71698113207549</v>
      </c>
      <c r="K266" s="240">
        <f>J266*E266</f>
        <v>2228.1509433962265</v>
      </c>
      <c r="L266" s="219"/>
      <c r="M266" s="245" t="s">
        <v>89</v>
      </c>
    </row>
    <row r="267" spans="1:13">
      <c r="A267" s="218" t="s">
        <v>222</v>
      </c>
      <c r="B267" s="7" t="s">
        <v>221</v>
      </c>
      <c r="C267" s="26" t="s">
        <v>223</v>
      </c>
      <c r="D267" s="25" t="s">
        <v>224</v>
      </c>
      <c r="E267" s="66">
        <v>2</v>
      </c>
      <c r="F267" s="25">
        <f>492.05*8000/5300</f>
        <v>742.71698113207549</v>
      </c>
      <c r="G267" s="25">
        <f t="shared" si="23"/>
        <v>1485.433962264151</v>
      </c>
      <c r="H267" s="238">
        <f t="shared" si="24"/>
        <v>1485.433962264151</v>
      </c>
      <c r="I267" s="25"/>
      <c r="J267" s="240">
        <f>492.05*8000/5300</f>
        <v>742.71698113207549</v>
      </c>
      <c r="K267" s="25">
        <f>J267*I267</f>
        <v>0</v>
      </c>
      <c r="L267" s="240">
        <f>+J267*E267</f>
        <v>1485.433962264151</v>
      </c>
      <c r="M267" s="245" t="s">
        <v>117</v>
      </c>
    </row>
    <row r="268" spans="1:13">
      <c r="A268" s="35" t="s">
        <v>222</v>
      </c>
      <c r="B268" s="7" t="s">
        <v>221</v>
      </c>
      <c r="C268" s="26" t="s">
        <v>223</v>
      </c>
      <c r="D268" s="25" t="s">
        <v>224</v>
      </c>
      <c r="E268" s="25">
        <v>2</v>
      </c>
      <c r="F268" s="25">
        <f>492.05*8000/5300</f>
        <v>742.71698113207549</v>
      </c>
      <c r="G268" s="25">
        <f t="shared" si="23"/>
        <v>1485.433962264151</v>
      </c>
      <c r="H268" s="238">
        <f t="shared" si="24"/>
        <v>1485.433962264151</v>
      </c>
      <c r="I268" s="25"/>
      <c r="J268" s="52">
        <f>492.05*8000/5300</f>
        <v>742.71698113207549</v>
      </c>
      <c r="K268" s="25">
        <f>J268*I268</f>
        <v>0</v>
      </c>
      <c r="L268" s="240">
        <f>+J268*E268</f>
        <v>1485.433962264151</v>
      </c>
      <c r="M268" s="245" t="s">
        <v>118</v>
      </c>
    </row>
    <row r="269" spans="1:13">
      <c r="A269" s="218" t="s">
        <v>222</v>
      </c>
      <c r="B269" s="7" t="s">
        <v>221</v>
      </c>
      <c r="C269" s="26" t="s">
        <v>223</v>
      </c>
      <c r="D269" s="25" t="s">
        <v>224</v>
      </c>
      <c r="E269" s="66">
        <v>5</v>
      </c>
      <c r="F269" s="233">
        <f>492.05*8000/5300</f>
        <v>742.71698113207549</v>
      </c>
      <c r="G269" s="25">
        <f t="shared" si="23"/>
        <v>3713.5849056603774</v>
      </c>
      <c r="H269" s="238">
        <f t="shared" si="24"/>
        <v>3713.5849056603774</v>
      </c>
      <c r="I269" s="25"/>
      <c r="J269" s="84">
        <f>492.05*8000/5300</f>
        <v>742.71698113207549</v>
      </c>
      <c r="K269" s="52">
        <f>+J269*E269</f>
        <v>3713.5849056603774</v>
      </c>
      <c r="L269" s="219"/>
      <c r="M269" s="245" t="s">
        <v>23</v>
      </c>
    </row>
    <row r="270" spans="1:13">
      <c r="A270" s="218" t="s">
        <v>222</v>
      </c>
      <c r="B270" s="7" t="s">
        <v>221</v>
      </c>
      <c r="C270" s="26" t="s">
        <v>223</v>
      </c>
      <c r="D270" s="25" t="s">
        <v>224</v>
      </c>
      <c r="E270" s="66">
        <v>2</v>
      </c>
      <c r="F270" s="53">
        <f>516.6525*1.50943396226415</f>
        <v>779.85283018867881</v>
      </c>
      <c r="G270" s="66">
        <f t="shared" si="23"/>
        <v>1559.7056603773576</v>
      </c>
      <c r="H270" s="238">
        <f t="shared" si="24"/>
        <v>1559.7056603773576</v>
      </c>
      <c r="I270" s="25"/>
      <c r="J270" s="52">
        <f>516.6525*1.50943396226415</f>
        <v>779.85283018867881</v>
      </c>
      <c r="K270" s="240">
        <f>+J270*E270</f>
        <v>1559.7056603773576</v>
      </c>
      <c r="L270" s="219"/>
      <c r="M270" s="245" t="s">
        <v>87</v>
      </c>
    </row>
    <row r="271" spans="1:13">
      <c r="A271" s="218" t="s">
        <v>222</v>
      </c>
      <c r="B271" s="7" t="s">
        <v>221</v>
      </c>
      <c r="C271" s="29" t="s">
        <v>223</v>
      </c>
      <c r="D271" s="32" t="s">
        <v>224</v>
      </c>
      <c r="E271" s="229">
        <v>4</v>
      </c>
      <c r="F271" s="73">
        <f>492.05*1.50943396226415</f>
        <v>742.71698113207503</v>
      </c>
      <c r="G271" s="229">
        <f t="shared" si="23"/>
        <v>2970.8679245283001</v>
      </c>
      <c r="H271" s="238">
        <f t="shared" si="24"/>
        <v>2970.8679245283001</v>
      </c>
      <c r="I271" s="25"/>
      <c r="J271" s="86">
        <f>492.05*1.50943396226415</f>
        <v>742.71698113207503</v>
      </c>
      <c r="K271" s="229">
        <f>J271*I271</f>
        <v>0</v>
      </c>
      <c r="L271" s="52">
        <f>+J271*E271</f>
        <v>2970.8679245283001</v>
      </c>
      <c r="M271" s="245" t="s">
        <v>17</v>
      </c>
    </row>
    <row r="272" spans="1:13">
      <c r="A272" s="218" t="s">
        <v>222</v>
      </c>
      <c r="B272" s="7" t="s">
        <v>221</v>
      </c>
      <c r="C272" s="361" t="s">
        <v>225</v>
      </c>
      <c r="D272" s="27" t="s">
        <v>224</v>
      </c>
      <c r="E272" s="42">
        <v>4</v>
      </c>
      <c r="F272" s="32">
        <f>492.05*1.50943396226415</f>
        <v>742.71698113207503</v>
      </c>
      <c r="G272" s="32">
        <f t="shared" si="23"/>
        <v>2970.8679245283001</v>
      </c>
      <c r="H272" s="37">
        <f t="shared" si="24"/>
        <v>2970.8679245283001</v>
      </c>
      <c r="I272" s="27"/>
      <c r="J272" s="37">
        <f>492.05*1.50943396226415</f>
        <v>742.71698113207503</v>
      </c>
      <c r="K272" s="27">
        <f>J272*I272</f>
        <v>0</v>
      </c>
      <c r="L272" s="41">
        <f>+J272*E272</f>
        <v>2970.8679245283001</v>
      </c>
      <c r="M272" s="245" t="s">
        <v>30</v>
      </c>
    </row>
    <row r="273" spans="1:13">
      <c r="A273" s="218" t="s">
        <v>226</v>
      </c>
      <c r="B273" s="7" t="s">
        <v>221</v>
      </c>
      <c r="C273" s="26" t="s">
        <v>223</v>
      </c>
      <c r="D273" s="55" t="s">
        <v>224</v>
      </c>
      <c r="E273" s="66">
        <v>2</v>
      </c>
      <c r="F273" s="25">
        <v>492.05</v>
      </c>
      <c r="G273" s="25">
        <f t="shared" si="23"/>
        <v>984.1</v>
      </c>
      <c r="H273" s="238">
        <f t="shared" si="24"/>
        <v>984.1</v>
      </c>
      <c r="I273" s="51"/>
      <c r="J273" s="52">
        <v>492.05</v>
      </c>
      <c r="K273" s="53">
        <f>J273*I273</f>
        <v>0</v>
      </c>
      <c r="L273" s="52">
        <f>+J273*E273</f>
        <v>984.1</v>
      </c>
      <c r="M273" s="245" t="s">
        <v>93</v>
      </c>
    </row>
    <row r="274" spans="1:13">
      <c r="A274" s="218" t="s">
        <v>226</v>
      </c>
      <c r="B274" s="7" t="s">
        <v>221</v>
      </c>
      <c r="C274" s="29" t="s">
        <v>223</v>
      </c>
      <c r="D274" s="32" t="s">
        <v>224</v>
      </c>
      <c r="E274" s="229">
        <v>1</v>
      </c>
      <c r="F274" s="32">
        <f>492.05*8000/5300</f>
        <v>742.71698113207549</v>
      </c>
      <c r="G274" s="32">
        <f t="shared" si="23"/>
        <v>742.71698113207549</v>
      </c>
      <c r="H274" s="238">
        <f t="shared" si="24"/>
        <v>742.71698113207549</v>
      </c>
      <c r="I274" s="25"/>
      <c r="J274" s="86">
        <f>492.05*8000/5300</f>
        <v>742.71698113207549</v>
      </c>
      <c r="K274" s="32">
        <f>J274*I274</f>
        <v>0</v>
      </c>
      <c r="L274" s="52">
        <f>+J274*E274</f>
        <v>742.71698113207549</v>
      </c>
      <c r="M274" s="245" t="s">
        <v>15</v>
      </c>
    </row>
    <row r="275" spans="1:13">
      <c r="A275" s="35" t="s">
        <v>227</v>
      </c>
      <c r="B275" s="7" t="s">
        <v>228</v>
      </c>
      <c r="C275" s="26" t="s">
        <v>229</v>
      </c>
      <c r="D275" s="25" t="s">
        <v>224</v>
      </c>
      <c r="E275" s="66">
        <v>1</v>
      </c>
      <c r="F275" s="66">
        <f>1750.0035*1.50943396226415</f>
        <v>2641.5147169811303</v>
      </c>
      <c r="G275" s="66">
        <f t="shared" si="23"/>
        <v>2641.5147169811303</v>
      </c>
      <c r="H275" s="239">
        <f t="shared" si="24"/>
        <v>2641.5147169811303</v>
      </c>
      <c r="I275" s="85"/>
      <c r="J275" s="240">
        <f>1750.0035*1.50943396226415</f>
        <v>2641.5147169811303</v>
      </c>
      <c r="K275" s="240">
        <f>E275*J275</f>
        <v>2641.5147169811303</v>
      </c>
      <c r="L275" s="219"/>
      <c r="M275" s="245" t="s">
        <v>20</v>
      </c>
    </row>
    <row r="276" spans="1:13">
      <c r="A276" s="218" t="s">
        <v>227</v>
      </c>
      <c r="B276" s="7" t="s">
        <v>228</v>
      </c>
      <c r="C276" s="26" t="s">
        <v>229</v>
      </c>
      <c r="D276" s="25" t="s">
        <v>67</v>
      </c>
      <c r="E276" s="66">
        <v>100</v>
      </c>
      <c r="F276" s="53">
        <f>10.91*1.50943396226415</f>
        <v>16.467924528301875</v>
      </c>
      <c r="G276" s="66">
        <f t="shared" si="23"/>
        <v>1646.7924528301876</v>
      </c>
      <c r="H276" s="238">
        <f t="shared" si="24"/>
        <v>1646.7924528301876</v>
      </c>
      <c r="I276" s="25"/>
      <c r="J276" s="240">
        <f>10.91*1.50943396226415</f>
        <v>16.467924528301875</v>
      </c>
      <c r="K276" s="66">
        <f>J276*I276</f>
        <v>0</v>
      </c>
      <c r="L276" s="240">
        <f>+J276*E276</f>
        <v>1646.7924528301876</v>
      </c>
      <c r="M276" s="245" t="s">
        <v>117</v>
      </c>
    </row>
    <row r="277" spans="1:13">
      <c r="A277" s="218" t="s">
        <v>227</v>
      </c>
      <c r="B277" s="7" t="s">
        <v>228</v>
      </c>
      <c r="C277" s="26" t="s">
        <v>229</v>
      </c>
      <c r="D277" s="25" t="s">
        <v>224</v>
      </c>
      <c r="E277" s="66">
        <v>2</v>
      </c>
      <c r="F277" s="53">
        <f>1750.0035*1.50943396226415</f>
        <v>2641.5147169811303</v>
      </c>
      <c r="G277" s="66">
        <f t="shared" si="23"/>
        <v>5283.0294339622606</v>
      </c>
      <c r="H277" s="238">
        <f t="shared" si="24"/>
        <v>5283.0294339622606</v>
      </c>
      <c r="I277" s="25"/>
      <c r="J277" s="52">
        <f>1750.0035*1.50943396226415</f>
        <v>2641.5147169811303</v>
      </c>
      <c r="K277" s="240">
        <f>+J277*E277</f>
        <v>5283.0294339622606</v>
      </c>
      <c r="L277" s="219"/>
      <c r="M277" s="245" t="s">
        <v>87</v>
      </c>
    </row>
    <row r="278" spans="1:13">
      <c r="A278" s="218"/>
      <c r="B278" s="7" t="s">
        <v>228</v>
      </c>
      <c r="C278" s="26" t="s">
        <v>229</v>
      </c>
      <c r="D278" s="25" t="s">
        <v>224</v>
      </c>
      <c r="E278" s="66">
        <v>1</v>
      </c>
      <c r="F278" s="233">
        <f>1750*8000/5300</f>
        <v>2641.5094339622642</v>
      </c>
      <c r="G278" s="25">
        <f t="shared" si="23"/>
        <v>2641.5094339622642</v>
      </c>
      <c r="H278" s="238">
        <f t="shared" si="24"/>
        <v>2641.5094339622642</v>
      </c>
      <c r="I278" s="25"/>
      <c r="J278" s="84">
        <f>1750*8000/5300</f>
        <v>2641.5094339622642</v>
      </c>
      <c r="K278" s="52">
        <f>+J278*E278</f>
        <v>2641.5094339622642</v>
      </c>
      <c r="L278" s="219"/>
      <c r="M278" s="245" t="s">
        <v>23</v>
      </c>
    </row>
    <row r="279" spans="1:13">
      <c r="A279" s="218" t="s">
        <v>119</v>
      </c>
      <c r="B279" s="7" t="s">
        <v>230</v>
      </c>
      <c r="C279" s="29" t="s">
        <v>231</v>
      </c>
      <c r="D279" s="32" t="s">
        <v>232</v>
      </c>
      <c r="E279" s="229">
        <v>50</v>
      </c>
      <c r="F279" s="32">
        <f>10.91*8000/5300</f>
        <v>16.467924528301886</v>
      </c>
      <c r="G279" s="32">
        <f t="shared" si="23"/>
        <v>823.39622641509425</v>
      </c>
      <c r="H279" s="238">
        <f t="shared" si="24"/>
        <v>823.39622641509425</v>
      </c>
      <c r="I279" s="25"/>
      <c r="J279" s="86">
        <f>10.91*8000/5300</f>
        <v>16.467924528301886</v>
      </c>
      <c r="K279" s="32">
        <f t="shared" ref="K279:K284" si="25">J279*I279</f>
        <v>0</v>
      </c>
      <c r="L279" s="52">
        <f>+J279*E279</f>
        <v>823.39622641509425</v>
      </c>
      <c r="M279" s="245" t="s">
        <v>15</v>
      </c>
    </row>
    <row r="280" spans="1:13">
      <c r="A280" s="218" t="s">
        <v>233</v>
      </c>
      <c r="B280" s="27" t="s">
        <v>230</v>
      </c>
      <c r="C280" s="29" t="s">
        <v>234</v>
      </c>
      <c r="D280" s="32" t="s">
        <v>147</v>
      </c>
      <c r="E280" s="231">
        <v>17</v>
      </c>
      <c r="F280" s="32">
        <f>9.04*8000/5300</f>
        <v>13.645283018867925</v>
      </c>
      <c r="G280" s="32">
        <f t="shared" si="23"/>
        <v>231.96981132075473</v>
      </c>
      <c r="H280" s="238">
        <f t="shared" si="24"/>
        <v>231.96981132075473</v>
      </c>
      <c r="I280" s="25"/>
      <c r="J280" s="86">
        <f>9.04*8000/5300</f>
        <v>13.645283018867925</v>
      </c>
      <c r="K280" s="32">
        <f t="shared" si="25"/>
        <v>0</v>
      </c>
      <c r="L280" s="52">
        <f>+J280*E280</f>
        <v>231.96981132075473</v>
      </c>
      <c r="M280" s="245" t="s">
        <v>15</v>
      </c>
    </row>
    <row r="281" spans="1:13">
      <c r="A281" s="218" t="s">
        <v>227</v>
      </c>
      <c r="B281" s="7" t="s">
        <v>235</v>
      </c>
      <c r="C281" s="43" t="s">
        <v>236</v>
      </c>
      <c r="D281" s="27" t="s">
        <v>67</v>
      </c>
      <c r="E281" s="42">
        <v>10</v>
      </c>
      <c r="F281" s="32">
        <f>175.0035*1.50943396226415</f>
        <v>264.15622641509418</v>
      </c>
      <c r="G281" s="32">
        <f t="shared" si="23"/>
        <v>2641.5622641509417</v>
      </c>
      <c r="H281" s="37">
        <f t="shared" si="24"/>
        <v>2641.5622641509417</v>
      </c>
      <c r="I281" s="27"/>
      <c r="J281" s="37">
        <f>175.0035*1.50943396226415</f>
        <v>264.15622641509418</v>
      </c>
      <c r="K281" s="27">
        <f t="shared" si="25"/>
        <v>0</v>
      </c>
      <c r="L281" s="41">
        <f>+J281*E281</f>
        <v>2641.5622641509417</v>
      </c>
      <c r="M281" s="245" t="s">
        <v>30</v>
      </c>
    </row>
    <row r="282" spans="1:13">
      <c r="A282" s="218" t="s">
        <v>227</v>
      </c>
      <c r="B282" s="7" t="s">
        <v>235</v>
      </c>
      <c r="C282" s="29" t="s">
        <v>236</v>
      </c>
      <c r="D282" s="32" t="s">
        <v>224</v>
      </c>
      <c r="E282" s="229">
        <v>3</v>
      </c>
      <c r="F282" s="73">
        <f>1750.0035*1.50943396226415</f>
        <v>2641.5147169811303</v>
      </c>
      <c r="G282" s="229">
        <f t="shared" si="23"/>
        <v>7924.5441509433913</v>
      </c>
      <c r="H282" s="238">
        <f t="shared" si="24"/>
        <v>7924.5441509433913</v>
      </c>
      <c r="I282" s="25"/>
      <c r="J282" s="86">
        <f>1750.0035*1.50943396226415</f>
        <v>2641.5147169811303</v>
      </c>
      <c r="K282" s="229">
        <f t="shared" si="25"/>
        <v>0</v>
      </c>
      <c r="L282" s="52">
        <f>+J282*E282</f>
        <v>7924.5441509433913</v>
      </c>
      <c r="M282" s="245" t="s">
        <v>17</v>
      </c>
    </row>
    <row r="283" spans="1:13">
      <c r="A283" s="218" t="s">
        <v>237</v>
      </c>
      <c r="B283" s="27" t="s">
        <v>235</v>
      </c>
      <c r="C283" s="29" t="s">
        <v>238</v>
      </c>
      <c r="D283" s="32" t="s">
        <v>147</v>
      </c>
      <c r="E283" s="231">
        <v>0</v>
      </c>
      <c r="F283" s="32">
        <f>10.9*8000/5300</f>
        <v>16.452830188679247</v>
      </c>
      <c r="G283" s="32">
        <f t="shared" si="23"/>
        <v>0</v>
      </c>
      <c r="H283" s="238"/>
      <c r="I283" s="25"/>
      <c r="J283" s="86">
        <f>10.9*8000/5300</f>
        <v>16.452830188679247</v>
      </c>
      <c r="K283" s="32">
        <f t="shared" si="25"/>
        <v>0</v>
      </c>
      <c r="L283" s="52"/>
      <c r="M283" s="245" t="s">
        <v>15</v>
      </c>
    </row>
    <row r="284" spans="1:13">
      <c r="A284" s="218" t="s">
        <v>239</v>
      </c>
      <c r="B284" s="27" t="s">
        <v>240</v>
      </c>
      <c r="C284" s="29" t="s">
        <v>241</v>
      </c>
      <c r="D284" s="32" t="s">
        <v>147</v>
      </c>
      <c r="E284" s="231">
        <v>6</v>
      </c>
      <c r="F284" s="32">
        <f>7.13*8000/5300</f>
        <v>10.762264150943397</v>
      </c>
      <c r="G284" s="32">
        <f t="shared" si="23"/>
        <v>64.573584905660383</v>
      </c>
      <c r="H284" s="238">
        <f>+F284*E284</f>
        <v>64.573584905660383</v>
      </c>
      <c r="I284" s="25"/>
      <c r="J284" s="86">
        <f>7.13*8000/5300</f>
        <v>10.762264150943397</v>
      </c>
      <c r="K284" s="32">
        <f t="shared" si="25"/>
        <v>0</v>
      </c>
      <c r="L284" s="52">
        <f>+J284*E284</f>
        <v>64.573584905660383</v>
      </c>
      <c r="M284" s="245" t="s">
        <v>15</v>
      </c>
    </row>
    <row r="285" spans="1:13">
      <c r="A285" s="151" t="s">
        <v>242</v>
      </c>
      <c r="B285" s="5" t="s">
        <v>242</v>
      </c>
      <c r="C285" s="30" t="s">
        <v>243</v>
      </c>
      <c r="D285" s="5"/>
      <c r="E285" s="5"/>
      <c r="F285" s="30"/>
      <c r="G285" s="31"/>
      <c r="H285" s="32"/>
      <c r="I285" s="32"/>
      <c r="J285" s="37"/>
      <c r="K285" s="27">
        <f>+J285*E285</f>
        <v>0</v>
      </c>
      <c r="L285" s="37"/>
      <c r="M285" s="245" t="s">
        <v>30</v>
      </c>
    </row>
    <row r="286" spans="1:13" ht="15.6">
      <c r="A286" s="218" t="s">
        <v>244</v>
      </c>
      <c r="B286" s="27" t="s">
        <v>244</v>
      </c>
      <c r="C286" s="29" t="s">
        <v>245</v>
      </c>
      <c r="D286" s="27" t="s">
        <v>246</v>
      </c>
      <c r="E286" s="27">
        <f>0.2*0.2*4.1*3</f>
        <v>0.49199999999999999</v>
      </c>
      <c r="F286" s="32"/>
      <c r="G286" s="33"/>
      <c r="H286" s="32"/>
      <c r="I286" s="32"/>
      <c r="J286" s="37">
        <f>+J284</f>
        <v>10.762264150943397</v>
      </c>
      <c r="K286" s="27"/>
      <c r="L286" s="37">
        <f>+J286*E286</f>
        <v>5.2950339622641511</v>
      </c>
      <c r="M286" s="245" t="s">
        <v>30</v>
      </c>
    </row>
    <row r="287" spans="1:13" ht="28.15">
      <c r="A287" s="218" t="s">
        <v>247</v>
      </c>
      <c r="B287" s="27" t="s">
        <v>247</v>
      </c>
      <c r="C287" s="29" t="s">
        <v>248</v>
      </c>
      <c r="D287" s="27" t="s">
        <v>246</v>
      </c>
      <c r="E287" s="27">
        <f>(2.95+7.25*2+5.95+6.55)*0.2*0.2</f>
        <v>1.1980000000000002</v>
      </c>
      <c r="F287" s="32"/>
      <c r="G287" s="33"/>
      <c r="H287" s="32"/>
      <c r="I287" s="32"/>
      <c r="J287" s="37">
        <f>1800000/5300</f>
        <v>339.62264150943395</v>
      </c>
      <c r="K287" s="27">
        <f>+J287*E287</f>
        <v>406.86792452830196</v>
      </c>
      <c r="L287" s="37">
        <f>+J287*E287</f>
        <v>406.86792452830196</v>
      </c>
      <c r="M287" s="245" t="s">
        <v>30</v>
      </c>
    </row>
    <row r="288" spans="1:13" ht="15.6">
      <c r="A288" s="218" t="s">
        <v>249</v>
      </c>
      <c r="B288" s="27" t="s">
        <v>249</v>
      </c>
      <c r="C288" s="32" t="s">
        <v>250</v>
      </c>
      <c r="D288" s="27" t="s">
        <v>114</v>
      </c>
      <c r="E288" s="27">
        <f>2.55*3.9+2.9*2*3+4.25*2*3.6+5.95*3.8+6.45*6.25</f>
        <v>120.86750000000001</v>
      </c>
      <c r="F288" s="32"/>
      <c r="G288" s="33"/>
      <c r="H288" s="32"/>
      <c r="I288" s="32"/>
      <c r="J288" s="37">
        <f>90000/5300</f>
        <v>16.981132075471699</v>
      </c>
      <c r="K288" s="27"/>
      <c r="L288" s="37">
        <f>+J288*E288</f>
        <v>2052.4669811320755</v>
      </c>
      <c r="M288" s="245" t="s">
        <v>30</v>
      </c>
    </row>
    <row r="289" spans="1:13" ht="28.15">
      <c r="A289" s="218" t="s">
        <v>251</v>
      </c>
      <c r="B289" s="27" t="s">
        <v>251</v>
      </c>
      <c r="C289" s="29" t="s">
        <v>252</v>
      </c>
      <c r="D289" s="27" t="s">
        <v>114</v>
      </c>
      <c r="E289" s="27">
        <f>10*0.6*1.1</f>
        <v>6.6000000000000005</v>
      </c>
      <c r="F289" s="32"/>
      <c r="G289" s="33"/>
      <c r="H289" s="32"/>
      <c r="I289" s="32"/>
      <c r="J289" s="37">
        <f>45000/5300</f>
        <v>8.4905660377358494</v>
      </c>
      <c r="K289" s="27"/>
      <c r="L289" s="37">
        <f>+J289*E289</f>
        <v>56.03773584905661</v>
      </c>
      <c r="M289" s="245" t="s">
        <v>30</v>
      </c>
    </row>
    <row r="290" spans="1:13">
      <c r="A290" s="151" t="s">
        <v>253</v>
      </c>
      <c r="B290" s="5" t="s">
        <v>254</v>
      </c>
      <c r="C290" s="30" t="s">
        <v>255</v>
      </c>
      <c r="D290" s="30"/>
      <c r="E290" s="5"/>
      <c r="F290" s="30"/>
      <c r="G290" s="31"/>
      <c r="H290" s="32"/>
      <c r="I290" s="32"/>
      <c r="J290" s="37"/>
      <c r="K290" s="27"/>
      <c r="L290" s="37"/>
      <c r="M290" s="245" t="s">
        <v>30</v>
      </c>
    </row>
    <row r="291" spans="1:13">
      <c r="A291" s="316" t="s">
        <v>256</v>
      </c>
      <c r="B291" s="5" t="s">
        <v>254</v>
      </c>
      <c r="C291" s="116" t="s">
        <v>255</v>
      </c>
      <c r="D291" s="120"/>
      <c r="E291" s="116"/>
      <c r="F291" s="116"/>
      <c r="G291" s="116"/>
      <c r="H291" s="32"/>
      <c r="I291" s="32"/>
      <c r="J291" s="128"/>
      <c r="K291" s="53"/>
      <c r="L291" s="52"/>
      <c r="M291" s="245" t="s">
        <v>17</v>
      </c>
    </row>
    <row r="292" spans="1:13" ht="28.15">
      <c r="A292" s="218" t="s">
        <v>257</v>
      </c>
      <c r="B292" s="27" t="s">
        <v>258</v>
      </c>
      <c r="C292" s="29" t="s">
        <v>259</v>
      </c>
      <c r="D292" s="27" t="s">
        <v>114</v>
      </c>
      <c r="E292" s="27" t="e">
        <f>#REF!+38.66+7.67</f>
        <v>#REF!</v>
      </c>
      <c r="F292" s="32"/>
      <c r="G292" s="33"/>
      <c r="H292" s="32"/>
      <c r="I292" s="32"/>
      <c r="J292" s="37">
        <f>45000/5300</f>
        <v>8.4905660377358494</v>
      </c>
      <c r="K292" s="27" t="e">
        <f>+J292*E292</f>
        <v>#REF!</v>
      </c>
      <c r="L292" s="37" t="e">
        <f>+J292*E292</f>
        <v>#REF!</v>
      </c>
      <c r="M292" s="245" t="s">
        <v>30</v>
      </c>
    </row>
    <row r="293" spans="1:13" ht="28.15">
      <c r="A293" s="316" t="s">
        <v>260</v>
      </c>
      <c r="B293" s="27" t="s">
        <v>258</v>
      </c>
      <c r="C293" s="29" t="s">
        <v>259</v>
      </c>
      <c r="D293" s="121" t="s">
        <v>261</v>
      </c>
      <c r="E293" s="121">
        <v>70.08</v>
      </c>
      <c r="F293" s="121"/>
      <c r="G293" s="121"/>
      <c r="H293" s="27"/>
      <c r="I293" s="27"/>
      <c r="J293" s="41">
        <v>8.49</v>
      </c>
      <c r="K293" s="76"/>
      <c r="L293" s="71">
        <f>+J293*E293</f>
        <v>594.97919999999999</v>
      </c>
      <c r="M293" s="245" t="s">
        <v>17</v>
      </c>
    </row>
    <row r="294" spans="1:13">
      <c r="A294" s="151" t="s">
        <v>262</v>
      </c>
      <c r="B294" s="5" t="s">
        <v>262</v>
      </c>
      <c r="C294" s="30" t="s">
        <v>263</v>
      </c>
      <c r="D294" s="5"/>
      <c r="E294" s="5"/>
      <c r="F294" s="30"/>
      <c r="G294" s="31"/>
      <c r="H294" s="32"/>
      <c r="I294" s="32"/>
      <c r="J294" s="37"/>
      <c r="K294" s="27"/>
      <c r="L294" s="37"/>
      <c r="M294" s="245" t="s">
        <v>30</v>
      </c>
    </row>
    <row r="295" spans="1:13" ht="28.15">
      <c r="A295" s="218" t="s">
        <v>264</v>
      </c>
      <c r="B295" s="27" t="s">
        <v>264</v>
      </c>
      <c r="C295" s="29" t="s">
        <v>265</v>
      </c>
      <c r="D295" s="27" t="s">
        <v>246</v>
      </c>
      <c r="E295" s="27">
        <f>2.95*0.2*0.2</f>
        <v>0.11800000000000002</v>
      </c>
      <c r="F295" s="32"/>
      <c r="G295" s="33"/>
      <c r="H295" s="32"/>
      <c r="I295" s="32"/>
      <c r="J295" s="37">
        <f>1800000/5300</f>
        <v>339.62264150943395</v>
      </c>
      <c r="K295" s="27">
        <f>+J295*E295</f>
        <v>40.075471698113212</v>
      </c>
      <c r="L295" s="37">
        <f t="shared" ref="L295:L322" si="26">+J295*E295</f>
        <v>40.075471698113212</v>
      </c>
      <c r="M295" s="245" t="s">
        <v>30</v>
      </c>
    </row>
    <row r="296" spans="1:13">
      <c r="A296" s="300" t="s">
        <v>266</v>
      </c>
      <c r="B296" s="3" t="s">
        <v>267</v>
      </c>
      <c r="C296" s="4" t="s">
        <v>268</v>
      </c>
      <c r="D296" s="3" t="s">
        <v>123</v>
      </c>
      <c r="E296" s="10">
        <v>1</v>
      </c>
      <c r="F296" s="25"/>
      <c r="G296" s="25"/>
      <c r="H296" s="238"/>
      <c r="I296" s="51"/>
      <c r="J296" s="217">
        <f>5500000/5300</f>
        <v>1037.7358490566037</v>
      </c>
      <c r="K296" s="244">
        <f t="shared" ref="K296:K322" si="27">+J296*I296</f>
        <v>0</v>
      </c>
      <c r="L296" s="217">
        <f t="shared" si="26"/>
        <v>1037.7358490566037</v>
      </c>
      <c r="M296" s="245" t="s">
        <v>93</v>
      </c>
    </row>
    <row r="297" spans="1:13">
      <c r="A297" s="300">
        <v>10</v>
      </c>
      <c r="B297" s="3" t="s">
        <v>269</v>
      </c>
      <c r="C297" s="4" t="s">
        <v>270</v>
      </c>
      <c r="D297" s="3" t="s">
        <v>175</v>
      </c>
      <c r="E297" s="10">
        <v>1</v>
      </c>
      <c r="F297" s="25"/>
      <c r="G297" s="25"/>
      <c r="H297" s="238"/>
      <c r="I297" s="51"/>
      <c r="J297" s="16">
        <f>700000/5300</f>
        <v>132.0754716981132</v>
      </c>
      <c r="K297" s="244">
        <f t="shared" si="27"/>
        <v>0</v>
      </c>
      <c r="L297" s="217">
        <f t="shared" si="26"/>
        <v>132.0754716981132</v>
      </c>
      <c r="M297" s="245" t="s">
        <v>93</v>
      </c>
    </row>
    <row r="298" spans="1:13">
      <c r="A298" s="300">
        <v>11</v>
      </c>
      <c r="B298" s="3" t="s">
        <v>271</v>
      </c>
      <c r="C298" s="4" t="s">
        <v>272</v>
      </c>
      <c r="D298" s="3" t="s">
        <v>175</v>
      </c>
      <c r="E298" s="10">
        <v>1</v>
      </c>
      <c r="F298" s="25"/>
      <c r="G298" s="25"/>
      <c r="H298" s="238"/>
      <c r="I298" s="51"/>
      <c r="J298" s="16">
        <f>1000000/5300</f>
        <v>188.67924528301887</v>
      </c>
      <c r="K298" s="244">
        <f t="shared" si="27"/>
        <v>0</v>
      </c>
      <c r="L298" s="217">
        <f t="shared" si="26"/>
        <v>188.67924528301887</v>
      </c>
      <c r="M298" s="245" t="s">
        <v>93</v>
      </c>
    </row>
    <row r="299" spans="1:13">
      <c r="A299" s="300">
        <v>12</v>
      </c>
      <c r="B299" s="3" t="s">
        <v>273</v>
      </c>
      <c r="C299" s="4" t="s">
        <v>274</v>
      </c>
      <c r="D299" s="3" t="s">
        <v>175</v>
      </c>
      <c r="E299" s="10">
        <v>1</v>
      </c>
      <c r="F299" s="25"/>
      <c r="G299" s="25"/>
      <c r="H299" s="238"/>
      <c r="I299" s="51"/>
      <c r="J299" s="16">
        <f>3500000/5300</f>
        <v>660.37735849056605</v>
      </c>
      <c r="K299" s="244">
        <f t="shared" si="27"/>
        <v>0</v>
      </c>
      <c r="L299" s="217">
        <f t="shared" si="26"/>
        <v>660.37735849056605</v>
      </c>
      <c r="M299" s="245" t="s">
        <v>93</v>
      </c>
    </row>
    <row r="300" spans="1:13">
      <c r="A300" s="300">
        <v>13</v>
      </c>
      <c r="B300" s="3" t="s">
        <v>275</v>
      </c>
      <c r="C300" s="4" t="s">
        <v>276</v>
      </c>
      <c r="D300" s="3" t="s">
        <v>175</v>
      </c>
      <c r="E300" s="10">
        <v>8</v>
      </c>
      <c r="F300" s="25"/>
      <c r="G300" s="25"/>
      <c r="H300" s="238"/>
      <c r="I300" s="51"/>
      <c r="J300" s="16">
        <f>1500000/5300</f>
        <v>283.01886792452831</v>
      </c>
      <c r="K300" s="244">
        <f t="shared" si="27"/>
        <v>0</v>
      </c>
      <c r="L300" s="217">
        <f t="shared" si="26"/>
        <v>2264.1509433962265</v>
      </c>
      <c r="M300" s="245" t="s">
        <v>93</v>
      </c>
    </row>
    <row r="301" spans="1:13">
      <c r="A301" s="300">
        <v>14</v>
      </c>
      <c r="B301" s="3" t="s">
        <v>277</v>
      </c>
      <c r="C301" s="4" t="s">
        <v>278</v>
      </c>
      <c r="D301" s="3" t="s">
        <v>123</v>
      </c>
      <c r="E301" s="10">
        <v>1</v>
      </c>
      <c r="F301" s="25"/>
      <c r="G301" s="25"/>
      <c r="H301" s="238"/>
      <c r="I301" s="51"/>
      <c r="J301" s="16">
        <f>8500000/5300</f>
        <v>1603.7735849056603</v>
      </c>
      <c r="K301" s="244">
        <f t="shared" si="27"/>
        <v>0</v>
      </c>
      <c r="L301" s="217">
        <f t="shared" si="26"/>
        <v>1603.7735849056603</v>
      </c>
      <c r="M301" s="245" t="s">
        <v>93</v>
      </c>
    </row>
    <row r="302" spans="1:13">
      <c r="A302" s="300">
        <v>15</v>
      </c>
      <c r="B302" s="3" t="s">
        <v>279</v>
      </c>
      <c r="C302" s="4" t="s">
        <v>280</v>
      </c>
      <c r="D302" s="3" t="s">
        <v>281</v>
      </c>
      <c r="E302" s="10">
        <v>1</v>
      </c>
      <c r="F302" s="25"/>
      <c r="G302" s="25"/>
      <c r="H302" s="238"/>
      <c r="I302" s="51"/>
      <c r="J302" s="16">
        <f>750000/5300</f>
        <v>141.50943396226415</v>
      </c>
      <c r="K302" s="244">
        <f t="shared" si="27"/>
        <v>0</v>
      </c>
      <c r="L302" s="217">
        <f t="shared" si="26"/>
        <v>141.50943396226415</v>
      </c>
      <c r="M302" s="245" t="s">
        <v>93</v>
      </c>
    </row>
    <row r="303" spans="1:13">
      <c r="A303" s="300">
        <v>16</v>
      </c>
      <c r="B303" s="3" t="s">
        <v>282</v>
      </c>
      <c r="C303" s="4" t="s">
        <v>283</v>
      </c>
      <c r="D303" s="3" t="s">
        <v>281</v>
      </c>
      <c r="E303" s="10">
        <v>1</v>
      </c>
      <c r="F303" s="25"/>
      <c r="G303" s="25"/>
      <c r="H303" s="238"/>
      <c r="I303" s="51"/>
      <c r="J303" s="16">
        <f>200000/5300</f>
        <v>37.735849056603776</v>
      </c>
      <c r="K303" s="244">
        <f t="shared" si="27"/>
        <v>0</v>
      </c>
      <c r="L303" s="217">
        <f t="shared" si="26"/>
        <v>37.735849056603776</v>
      </c>
      <c r="M303" s="245" t="s">
        <v>93</v>
      </c>
    </row>
    <row r="304" spans="1:13">
      <c r="A304" s="300">
        <v>17</v>
      </c>
      <c r="B304" s="3" t="s">
        <v>284</v>
      </c>
      <c r="C304" s="4" t="s">
        <v>285</v>
      </c>
      <c r="D304" s="3" t="s">
        <v>123</v>
      </c>
      <c r="E304" s="10">
        <v>1</v>
      </c>
      <c r="F304" s="25"/>
      <c r="G304" s="25"/>
      <c r="H304" s="238"/>
      <c r="I304" s="51"/>
      <c r="J304" s="16">
        <f>500000/5300</f>
        <v>94.339622641509436</v>
      </c>
      <c r="K304" s="244">
        <f t="shared" si="27"/>
        <v>0</v>
      </c>
      <c r="L304" s="217">
        <f t="shared" si="26"/>
        <v>94.339622641509436</v>
      </c>
      <c r="M304" s="245" t="s">
        <v>93</v>
      </c>
    </row>
    <row r="305" spans="1:13">
      <c r="A305" s="300">
        <v>18</v>
      </c>
      <c r="B305" s="3" t="s">
        <v>286</v>
      </c>
      <c r="C305" s="4" t="s">
        <v>287</v>
      </c>
      <c r="D305" s="3" t="s">
        <v>123</v>
      </c>
      <c r="E305" s="10">
        <v>1</v>
      </c>
      <c r="F305" s="25"/>
      <c r="G305" s="25"/>
      <c r="H305" s="238"/>
      <c r="I305" s="51"/>
      <c r="J305" s="16">
        <f>1500000/5300</f>
        <v>283.01886792452831</v>
      </c>
      <c r="K305" s="244">
        <f t="shared" si="27"/>
        <v>0</v>
      </c>
      <c r="L305" s="217">
        <f t="shared" si="26"/>
        <v>283.01886792452831</v>
      </c>
      <c r="M305" s="245" t="s">
        <v>93</v>
      </c>
    </row>
    <row r="306" spans="1:13">
      <c r="A306" s="300">
        <v>19</v>
      </c>
      <c r="B306" s="3" t="s">
        <v>288</v>
      </c>
      <c r="C306" s="4" t="s">
        <v>289</v>
      </c>
      <c r="D306" s="3" t="s">
        <v>123</v>
      </c>
      <c r="E306" s="10">
        <v>1</v>
      </c>
      <c r="F306" s="25"/>
      <c r="G306" s="25"/>
      <c r="H306" s="238"/>
      <c r="I306" s="51"/>
      <c r="J306" s="16">
        <f>2200000/5300</f>
        <v>415.09433962264148</v>
      </c>
      <c r="K306" s="244">
        <f t="shared" si="27"/>
        <v>0</v>
      </c>
      <c r="L306" s="217">
        <f t="shared" si="26"/>
        <v>415.09433962264148</v>
      </c>
      <c r="M306" s="245" t="s">
        <v>93</v>
      </c>
    </row>
    <row r="307" spans="1:13">
      <c r="A307" s="300">
        <v>2</v>
      </c>
      <c r="B307" s="7" t="s">
        <v>290</v>
      </c>
      <c r="C307" s="4" t="s">
        <v>291</v>
      </c>
      <c r="D307" s="3" t="s">
        <v>123</v>
      </c>
      <c r="E307" s="10">
        <v>1</v>
      </c>
      <c r="F307" s="25"/>
      <c r="G307" s="25"/>
      <c r="H307" s="238"/>
      <c r="I307" s="51"/>
      <c r="J307" s="17">
        <f>32500000/5300</f>
        <v>6132.0754716981128</v>
      </c>
      <c r="K307" s="244">
        <f t="shared" si="27"/>
        <v>0</v>
      </c>
      <c r="L307" s="217">
        <f t="shared" si="26"/>
        <v>6132.0754716981128</v>
      </c>
      <c r="M307" s="245" t="s">
        <v>93</v>
      </c>
    </row>
    <row r="308" spans="1:13">
      <c r="A308" s="300">
        <v>20</v>
      </c>
      <c r="B308" s="3" t="s">
        <v>292</v>
      </c>
      <c r="C308" s="4" t="s">
        <v>280</v>
      </c>
      <c r="D308" s="3" t="s">
        <v>281</v>
      </c>
      <c r="E308" s="10">
        <v>4</v>
      </c>
      <c r="F308" s="25"/>
      <c r="G308" s="25"/>
      <c r="H308" s="238"/>
      <c r="I308" s="51"/>
      <c r="J308" s="16">
        <f>750000/5300</f>
        <v>141.50943396226415</v>
      </c>
      <c r="K308" s="244">
        <f t="shared" si="27"/>
        <v>0</v>
      </c>
      <c r="L308" s="217">
        <f t="shared" si="26"/>
        <v>566.03773584905662</v>
      </c>
      <c r="M308" s="245" t="s">
        <v>93</v>
      </c>
    </row>
    <row r="309" spans="1:13">
      <c r="A309" s="300">
        <v>21</v>
      </c>
      <c r="B309" s="3" t="s">
        <v>293</v>
      </c>
      <c r="C309" s="4" t="s">
        <v>294</v>
      </c>
      <c r="D309" s="3" t="s">
        <v>123</v>
      </c>
      <c r="E309" s="10">
        <v>4</v>
      </c>
      <c r="F309" s="25"/>
      <c r="G309" s="25"/>
      <c r="H309" s="238"/>
      <c r="I309" s="51"/>
      <c r="J309" s="16">
        <f>300000/5300</f>
        <v>56.60377358490566</v>
      </c>
      <c r="K309" s="244">
        <f t="shared" si="27"/>
        <v>0</v>
      </c>
      <c r="L309" s="217">
        <f t="shared" si="26"/>
        <v>226.41509433962264</v>
      </c>
      <c r="M309" s="245" t="s">
        <v>93</v>
      </c>
    </row>
    <row r="310" spans="1:13">
      <c r="A310" s="300">
        <v>23</v>
      </c>
      <c r="B310" s="3" t="s">
        <v>295</v>
      </c>
      <c r="C310" s="4" t="s">
        <v>296</v>
      </c>
      <c r="D310" s="3" t="s">
        <v>175</v>
      </c>
      <c r="E310" s="10">
        <v>1</v>
      </c>
      <c r="F310" s="25"/>
      <c r="G310" s="25"/>
      <c r="H310" s="238"/>
      <c r="I310" s="51"/>
      <c r="J310" s="16">
        <f>8000000/5300</f>
        <v>1509.433962264151</v>
      </c>
      <c r="K310" s="244">
        <f t="shared" si="27"/>
        <v>0</v>
      </c>
      <c r="L310" s="217">
        <f t="shared" si="26"/>
        <v>1509.433962264151</v>
      </c>
      <c r="M310" s="245" t="s">
        <v>93</v>
      </c>
    </row>
    <row r="311" spans="1:13">
      <c r="A311" s="300">
        <v>24</v>
      </c>
      <c r="B311" s="3" t="s">
        <v>297</v>
      </c>
      <c r="C311" s="4" t="s">
        <v>298</v>
      </c>
      <c r="D311" s="3" t="s">
        <v>175</v>
      </c>
      <c r="E311" s="10">
        <v>2</v>
      </c>
      <c r="F311" s="25"/>
      <c r="G311" s="25"/>
      <c r="H311" s="238"/>
      <c r="I311" s="51"/>
      <c r="J311" s="16">
        <f>1700000/5300</f>
        <v>320.75471698113205</v>
      </c>
      <c r="K311" s="244">
        <f t="shared" si="27"/>
        <v>0</v>
      </c>
      <c r="L311" s="217">
        <f t="shared" si="26"/>
        <v>641.5094339622641</v>
      </c>
      <c r="M311" s="245" t="s">
        <v>93</v>
      </c>
    </row>
    <row r="312" spans="1:13">
      <c r="A312" s="300">
        <v>25</v>
      </c>
      <c r="B312" s="3" t="s">
        <v>299</v>
      </c>
      <c r="C312" s="4" t="s">
        <v>300</v>
      </c>
      <c r="D312" s="3" t="s">
        <v>301</v>
      </c>
      <c r="E312" s="10">
        <v>350</v>
      </c>
      <c r="F312" s="25"/>
      <c r="G312" s="25"/>
      <c r="H312" s="238"/>
      <c r="I312" s="51"/>
      <c r="J312" s="16">
        <v>0.37735849056603776</v>
      </c>
      <c r="K312" s="244">
        <f t="shared" si="27"/>
        <v>0</v>
      </c>
      <c r="L312" s="217">
        <f t="shared" si="26"/>
        <v>132.0754716981132</v>
      </c>
      <c r="M312" s="245" t="s">
        <v>93</v>
      </c>
    </row>
    <row r="313" spans="1:13">
      <c r="A313" s="300">
        <v>26</v>
      </c>
      <c r="B313" s="3" t="s">
        <v>302</v>
      </c>
      <c r="C313" s="4" t="s">
        <v>303</v>
      </c>
      <c r="D313" s="3" t="s">
        <v>123</v>
      </c>
      <c r="E313" s="10">
        <v>1</v>
      </c>
      <c r="F313" s="25"/>
      <c r="G313" s="25"/>
      <c r="H313" s="238"/>
      <c r="I313" s="51"/>
      <c r="J313" s="16">
        <f>1000000/5300</f>
        <v>188.67924528301887</v>
      </c>
      <c r="K313" s="244">
        <f t="shared" si="27"/>
        <v>0</v>
      </c>
      <c r="L313" s="217">
        <f t="shared" si="26"/>
        <v>188.67924528301887</v>
      </c>
      <c r="M313" s="245" t="s">
        <v>93</v>
      </c>
    </row>
    <row r="314" spans="1:13">
      <c r="A314" s="300">
        <v>27</v>
      </c>
      <c r="B314" s="3" t="s">
        <v>304</v>
      </c>
      <c r="C314" s="4" t="s">
        <v>305</v>
      </c>
      <c r="D314" s="3" t="s">
        <v>123</v>
      </c>
      <c r="E314" s="10">
        <v>1</v>
      </c>
      <c r="F314" s="25"/>
      <c r="G314" s="25"/>
      <c r="H314" s="238"/>
      <c r="I314" s="51"/>
      <c r="J314" s="16">
        <f>1200000/5300</f>
        <v>226.41509433962264</v>
      </c>
      <c r="K314" s="244">
        <f t="shared" si="27"/>
        <v>0</v>
      </c>
      <c r="L314" s="217">
        <f t="shared" si="26"/>
        <v>226.41509433962264</v>
      </c>
      <c r="M314" s="245" t="s">
        <v>93</v>
      </c>
    </row>
    <row r="315" spans="1:13">
      <c r="A315" s="300">
        <v>28</v>
      </c>
      <c r="B315" s="3" t="s">
        <v>306</v>
      </c>
      <c r="C315" s="4" t="s">
        <v>307</v>
      </c>
      <c r="D315" s="3" t="s">
        <v>123</v>
      </c>
      <c r="E315" s="10">
        <v>1</v>
      </c>
      <c r="F315" s="25"/>
      <c r="G315" s="25"/>
      <c r="H315" s="238"/>
      <c r="I315" s="51"/>
      <c r="J315" s="16">
        <f>1500000/5300</f>
        <v>283.01886792452831</v>
      </c>
      <c r="K315" s="244">
        <f t="shared" si="27"/>
        <v>0</v>
      </c>
      <c r="L315" s="217">
        <f t="shared" si="26"/>
        <v>283.01886792452831</v>
      </c>
      <c r="M315" s="245" t="s">
        <v>93</v>
      </c>
    </row>
    <row r="316" spans="1:13">
      <c r="A316" s="300">
        <v>3</v>
      </c>
      <c r="B316" s="3" t="s">
        <v>308</v>
      </c>
      <c r="C316" s="4" t="s">
        <v>309</v>
      </c>
      <c r="D316" s="3" t="s">
        <v>123</v>
      </c>
      <c r="E316" s="10">
        <v>1</v>
      </c>
      <c r="F316" s="25"/>
      <c r="G316" s="25"/>
      <c r="H316" s="238"/>
      <c r="I316" s="51"/>
      <c r="J316" s="17">
        <f>4500000/5300</f>
        <v>849.05660377358492</v>
      </c>
      <c r="K316" s="244">
        <f t="shared" si="27"/>
        <v>0</v>
      </c>
      <c r="L316" s="217">
        <f t="shared" si="26"/>
        <v>849.05660377358492</v>
      </c>
      <c r="M316" s="245" t="s">
        <v>93</v>
      </c>
    </row>
    <row r="317" spans="1:13">
      <c r="A317" s="300">
        <v>4</v>
      </c>
      <c r="B317" s="3" t="s">
        <v>310</v>
      </c>
      <c r="C317" s="4" t="s">
        <v>311</v>
      </c>
      <c r="D317" s="3" t="s">
        <v>123</v>
      </c>
      <c r="E317" s="10">
        <v>1</v>
      </c>
      <c r="F317" s="25"/>
      <c r="G317" s="25"/>
      <c r="H317" s="238"/>
      <c r="I317" s="51"/>
      <c r="J317" s="17">
        <f>2500000/5300</f>
        <v>471.69811320754718</v>
      </c>
      <c r="K317" s="244">
        <f t="shared" si="27"/>
        <v>0</v>
      </c>
      <c r="L317" s="217">
        <f t="shared" si="26"/>
        <v>471.69811320754718</v>
      </c>
      <c r="M317" s="245" t="s">
        <v>93</v>
      </c>
    </row>
    <row r="318" spans="1:13">
      <c r="A318" s="300">
        <v>5</v>
      </c>
      <c r="B318" s="3" t="s">
        <v>312</v>
      </c>
      <c r="C318" s="4" t="s">
        <v>313</v>
      </c>
      <c r="D318" s="3" t="s">
        <v>123</v>
      </c>
      <c r="E318" s="10">
        <v>1</v>
      </c>
      <c r="F318" s="25"/>
      <c r="G318" s="25"/>
      <c r="H318" s="238"/>
      <c r="I318" s="51"/>
      <c r="J318" s="17">
        <f>3500000/5300</f>
        <v>660.37735849056605</v>
      </c>
      <c r="K318" s="244">
        <f t="shared" si="27"/>
        <v>0</v>
      </c>
      <c r="L318" s="217">
        <f t="shared" si="26"/>
        <v>660.37735849056605</v>
      </c>
      <c r="M318" s="245" t="s">
        <v>93</v>
      </c>
    </row>
    <row r="319" spans="1:13">
      <c r="A319" s="218">
        <v>6</v>
      </c>
      <c r="B319" s="27" t="s">
        <v>314</v>
      </c>
      <c r="C319" s="4" t="s">
        <v>315</v>
      </c>
      <c r="D319" s="3" t="s">
        <v>123</v>
      </c>
      <c r="E319" s="10">
        <v>1</v>
      </c>
      <c r="F319" s="25"/>
      <c r="G319" s="25"/>
      <c r="H319" s="238"/>
      <c r="I319" s="51"/>
      <c r="J319" s="17">
        <f>3000000/5300</f>
        <v>566.03773584905662</v>
      </c>
      <c r="K319" s="244">
        <f t="shared" si="27"/>
        <v>0</v>
      </c>
      <c r="L319" s="217">
        <f t="shared" si="26"/>
        <v>566.03773584905662</v>
      </c>
      <c r="M319" s="245" t="s">
        <v>93</v>
      </c>
    </row>
    <row r="320" spans="1:13">
      <c r="A320" s="300">
        <v>7</v>
      </c>
      <c r="B320" s="3" t="s">
        <v>316</v>
      </c>
      <c r="C320" s="4" t="s">
        <v>317</v>
      </c>
      <c r="D320" s="3" t="s">
        <v>123</v>
      </c>
      <c r="E320" s="10">
        <v>1</v>
      </c>
      <c r="F320" s="25"/>
      <c r="G320" s="25"/>
      <c r="H320" s="238"/>
      <c r="I320" s="51"/>
      <c r="J320" s="17">
        <f>1000000/5300</f>
        <v>188.67924528301887</v>
      </c>
      <c r="K320" s="244">
        <f t="shared" si="27"/>
        <v>0</v>
      </c>
      <c r="L320" s="217">
        <f t="shared" si="26"/>
        <v>188.67924528301887</v>
      </c>
      <c r="M320" s="245" t="s">
        <v>93</v>
      </c>
    </row>
    <row r="321" spans="1:13">
      <c r="A321" s="300">
        <v>8</v>
      </c>
      <c r="B321" s="3" t="s">
        <v>318</v>
      </c>
      <c r="C321" s="4" t="s">
        <v>319</v>
      </c>
      <c r="D321" s="3" t="s">
        <v>175</v>
      </c>
      <c r="E321" s="10">
        <v>1</v>
      </c>
      <c r="F321" s="25"/>
      <c r="G321" s="25"/>
      <c r="H321" s="238"/>
      <c r="I321" s="51"/>
      <c r="J321" s="16">
        <f>10000000/5300</f>
        <v>1886.7924528301887</v>
      </c>
      <c r="K321" s="244">
        <f t="shared" si="27"/>
        <v>0</v>
      </c>
      <c r="L321" s="217">
        <f t="shared" si="26"/>
        <v>1886.7924528301887</v>
      </c>
      <c r="M321" s="245" t="s">
        <v>93</v>
      </c>
    </row>
    <row r="322" spans="1:13">
      <c r="A322" s="300">
        <v>9</v>
      </c>
      <c r="B322" s="3" t="s">
        <v>320</v>
      </c>
      <c r="C322" s="4" t="s">
        <v>321</v>
      </c>
      <c r="D322" s="3" t="s">
        <v>175</v>
      </c>
      <c r="E322" s="10">
        <v>1</v>
      </c>
      <c r="F322" s="25"/>
      <c r="G322" s="25"/>
      <c r="H322" s="238"/>
      <c r="I322" s="51"/>
      <c r="J322" s="16">
        <f>5000000/5300</f>
        <v>943.39622641509436</v>
      </c>
      <c r="K322" s="244">
        <f t="shared" si="27"/>
        <v>0</v>
      </c>
      <c r="L322" s="217">
        <f t="shared" si="26"/>
        <v>943.39622641509436</v>
      </c>
      <c r="M322" s="245" t="s">
        <v>93</v>
      </c>
    </row>
    <row r="323" spans="1:13">
      <c r="A323" s="281">
        <v>2</v>
      </c>
      <c r="B323" s="353" t="s">
        <v>322</v>
      </c>
      <c r="C323" s="6" t="s">
        <v>323</v>
      </c>
      <c r="D323" s="6"/>
      <c r="E323" s="45"/>
      <c r="F323" s="6"/>
      <c r="G323" s="352"/>
      <c r="H323" s="60">
        <f>+F323*0.15</f>
        <v>0</v>
      </c>
      <c r="I323" s="60">
        <f>+F323*0.2</f>
        <v>0</v>
      </c>
      <c r="J323" s="61"/>
      <c r="K323" s="61"/>
      <c r="L323" s="349"/>
      <c r="M323" s="339" t="s">
        <v>89</v>
      </c>
    </row>
    <row r="324" spans="1:13">
      <c r="A324" s="280">
        <v>2</v>
      </c>
      <c r="B324" s="353" t="s">
        <v>322</v>
      </c>
      <c r="C324" s="6" t="s">
        <v>323</v>
      </c>
      <c r="D324" s="6"/>
      <c r="E324" s="232"/>
      <c r="F324" s="6"/>
      <c r="G324" s="352"/>
      <c r="H324" s="338"/>
      <c r="I324" s="60">
        <f>+F324*0.15</f>
        <v>0</v>
      </c>
      <c r="J324" s="63"/>
      <c r="K324" s="60"/>
      <c r="L324" s="63"/>
      <c r="M324" s="339" t="s">
        <v>117</v>
      </c>
    </row>
    <row r="325" spans="1:13">
      <c r="A325" s="281">
        <v>2</v>
      </c>
      <c r="B325" s="353" t="s">
        <v>322</v>
      </c>
      <c r="C325" s="6" t="s">
        <v>323</v>
      </c>
      <c r="D325" s="6"/>
      <c r="E325" s="6"/>
      <c r="F325" s="6"/>
      <c r="G325" s="352"/>
      <c r="H325" s="338"/>
      <c r="I325" s="60">
        <f t="shared" ref="I325:I335" si="28">+F325*0.2</f>
        <v>0</v>
      </c>
      <c r="J325" s="61"/>
      <c r="K325" s="47"/>
      <c r="L325" s="61"/>
      <c r="M325" s="339" t="s">
        <v>118</v>
      </c>
    </row>
    <row r="326" spans="1:13">
      <c r="A326" s="280">
        <v>2</v>
      </c>
      <c r="B326" s="353" t="s">
        <v>322</v>
      </c>
      <c r="C326" s="6" t="s">
        <v>323</v>
      </c>
      <c r="D326" s="6"/>
      <c r="E326" s="45"/>
      <c r="F326" s="234"/>
      <c r="G326" s="352"/>
      <c r="H326" s="60">
        <f>+F326*0.15</f>
        <v>0</v>
      </c>
      <c r="I326" s="60">
        <f t="shared" si="28"/>
        <v>0</v>
      </c>
      <c r="J326" s="347">
        <f>+(F326+H326+I326)/5300</f>
        <v>0</v>
      </c>
      <c r="K326" s="61">
        <f>J326*E326</f>
        <v>0</v>
      </c>
      <c r="L326" s="349"/>
      <c r="M326" s="339" t="s">
        <v>23</v>
      </c>
    </row>
    <row r="327" spans="1:13">
      <c r="A327" s="151">
        <v>2</v>
      </c>
      <c r="B327" s="353" t="s">
        <v>322</v>
      </c>
      <c r="C327" s="6" t="s">
        <v>323</v>
      </c>
      <c r="D327" s="23"/>
      <c r="E327" s="65"/>
      <c r="F327" s="23"/>
      <c r="G327" s="59"/>
      <c r="H327" s="60"/>
      <c r="I327" s="60">
        <f t="shared" si="28"/>
        <v>0</v>
      </c>
      <c r="J327" s="61"/>
      <c r="K327" s="47"/>
      <c r="L327" s="62"/>
      <c r="M327" s="339" t="s">
        <v>30</v>
      </c>
    </row>
    <row r="328" spans="1:13">
      <c r="A328" s="280">
        <v>2</v>
      </c>
      <c r="B328" s="353" t="s">
        <v>322</v>
      </c>
      <c r="C328" s="6" t="s">
        <v>323</v>
      </c>
      <c r="D328" s="156"/>
      <c r="E328" s="45"/>
      <c r="F328" s="6"/>
      <c r="G328" s="352"/>
      <c r="H328" s="338">
        <f>+F328*0.15</f>
        <v>0</v>
      </c>
      <c r="I328" s="60">
        <f t="shared" si="28"/>
        <v>0</v>
      </c>
      <c r="J328" s="61">
        <f>+(H328+I328+F328)/5300</f>
        <v>0</v>
      </c>
      <c r="K328" s="47">
        <f>+J328*E328</f>
        <v>0</v>
      </c>
      <c r="L328" s="61">
        <f>E328*J328</f>
        <v>0</v>
      </c>
      <c r="M328" s="339" t="s">
        <v>93</v>
      </c>
    </row>
    <row r="329" spans="1:13">
      <c r="A329" s="280">
        <v>2</v>
      </c>
      <c r="B329" s="353" t="s">
        <v>322</v>
      </c>
      <c r="C329" s="6" t="s">
        <v>323</v>
      </c>
      <c r="D329" s="6"/>
      <c r="E329" s="45"/>
      <c r="F329" s="6"/>
      <c r="G329" s="352"/>
      <c r="H329" s="338">
        <f>+F329*0.15</f>
        <v>0</v>
      </c>
      <c r="I329" s="60">
        <f t="shared" si="28"/>
        <v>0</v>
      </c>
      <c r="J329" s="61"/>
      <c r="K329" s="61"/>
      <c r="L329" s="349"/>
      <c r="M329" s="339" t="s">
        <v>87</v>
      </c>
    </row>
    <row r="330" spans="1:13">
      <c r="A330" s="280">
        <v>2</v>
      </c>
      <c r="B330" s="353" t="s">
        <v>322</v>
      </c>
      <c r="C330" s="6" t="s">
        <v>323</v>
      </c>
      <c r="D330" s="6"/>
      <c r="E330" s="45"/>
      <c r="F330" s="6"/>
      <c r="G330" s="352"/>
      <c r="H330" s="338"/>
      <c r="I330" s="60">
        <f t="shared" si="28"/>
        <v>0</v>
      </c>
      <c r="J330" s="351"/>
      <c r="K330" s="47"/>
      <c r="L330" s="61"/>
      <c r="M330" s="339" t="s">
        <v>15</v>
      </c>
    </row>
    <row r="331" spans="1:13">
      <c r="A331" s="151">
        <v>2</v>
      </c>
      <c r="B331" s="353" t="s">
        <v>322</v>
      </c>
      <c r="C331" s="6" t="s">
        <v>323</v>
      </c>
      <c r="D331" s="23"/>
      <c r="E331" s="65"/>
      <c r="F331" s="23"/>
      <c r="G331" s="59"/>
      <c r="H331" s="60"/>
      <c r="I331" s="60">
        <f t="shared" si="28"/>
        <v>0</v>
      </c>
      <c r="J331" s="351"/>
      <c r="K331" s="47"/>
      <c r="L331" s="61"/>
      <c r="M331" s="339" t="s">
        <v>17</v>
      </c>
    </row>
    <row r="332" spans="1:13">
      <c r="A332" s="356">
        <v>2</v>
      </c>
      <c r="B332" s="353" t="s">
        <v>322</v>
      </c>
      <c r="C332" s="354" t="s">
        <v>323</v>
      </c>
      <c r="D332" s="146"/>
      <c r="E332" s="213"/>
      <c r="F332" s="147"/>
      <c r="G332" s="355"/>
      <c r="H332" s="345"/>
      <c r="I332" s="346">
        <f t="shared" si="28"/>
        <v>0</v>
      </c>
      <c r="J332" s="347"/>
      <c r="K332" s="348">
        <f t="shared" ref="K332:K337" si="29">+J332*E332</f>
        <v>0</v>
      </c>
      <c r="L332" s="349"/>
      <c r="M332" s="339" t="s">
        <v>20</v>
      </c>
    </row>
    <row r="333" spans="1:13">
      <c r="A333" s="251" t="s">
        <v>24</v>
      </c>
      <c r="B333" s="76" t="s">
        <v>324</v>
      </c>
      <c r="C333" s="204" t="s">
        <v>325</v>
      </c>
      <c r="D333" s="207" t="s">
        <v>326</v>
      </c>
      <c r="E333" s="211">
        <v>3</v>
      </c>
      <c r="F333" s="270">
        <v>40000</v>
      </c>
      <c r="G333" s="236">
        <f t="shared" ref="G333:G342" si="30">+F333*E333</f>
        <v>120000</v>
      </c>
      <c r="H333" s="239">
        <f t="shared" ref="H333:H352" si="31">+F333*0.15</f>
        <v>6000</v>
      </c>
      <c r="I333" s="206">
        <f t="shared" si="28"/>
        <v>8000</v>
      </c>
      <c r="J333" s="84">
        <f>+(F333+H333+I333)/5300</f>
        <v>10.188679245283019</v>
      </c>
      <c r="K333" s="241">
        <f t="shared" si="29"/>
        <v>30.566037735849058</v>
      </c>
      <c r="L333" s="219"/>
      <c r="M333" s="245" t="s">
        <v>20</v>
      </c>
    </row>
    <row r="334" spans="1:13">
      <c r="A334" s="218" t="s">
        <v>24</v>
      </c>
      <c r="B334" s="76" t="s">
        <v>324</v>
      </c>
      <c r="C334" s="26" t="s">
        <v>325</v>
      </c>
      <c r="D334" s="25" t="s">
        <v>326</v>
      </c>
      <c r="E334" s="66">
        <v>6</v>
      </c>
      <c r="F334" s="25">
        <v>40000</v>
      </c>
      <c r="G334" s="9">
        <f t="shared" si="30"/>
        <v>240000</v>
      </c>
      <c r="H334" s="51">
        <f t="shared" si="31"/>
        <v>6000</v>
      </c>
      <c r="I334" s="51">
        <f t="shared" si="28"/>
        <v>8000</v>
      </c>
      <c r="J334" s="128">
        <f>+(I334+H334+F334)/5300</f>
        <v>10.188679245283019</v>
      </c>
      <c r="K334" s="53">
        <f t="shared" si="29"/>
        <v>61.132075471698116</v>
      </c>
      <c r="L334" s="52">
        <f>J334*E334</f>
        <v>61.132075471698116</v>
      </c>
      <c r="M334" s="245" t="s">
        <v>17</v>
      </c>
    </row>
    <row r="335" spans="1:13">
      <c r="A335" s="1" t="s">
        <v>24</v>
      </c>
      <c r="B335" s="76" t="s">
        <v>324</v>
      </c>
      <c r="C335" s="26" t="s">
        <v>325</v>
      </c>
      <c r="D335" s="26" t="s">
        <v>326</v>
      </c>
      <c r="E335" s="209">
        <v>3</v>
      </c>
      <c r="F335" s="26">
        <v>40000</v>
      </c>
      <c r="G335" s="2">
        <f t="shared" si="30"/>
        <v>120000</v>
      </c>
      <c r="H335" s="51">
        <f t="shared" si="31"/>
        <v>6000</v>
      </c>
      <c r="I335" s="51">
        <f t="shared" si="28"/>
        <v>8000</v>
      </c>
      <c r="J335" s="52">
        <f>+(F335+H335+I335)/5300</f>
        <v>10.188679245283019</v>
      </c>
      <c r="K335" s="52">
        <f t="shared" si="29"/>
        <v>30.566037735849058</v>
      </c>
      <c r="L335" s="219"/>
      <c r="M335" s="245" t="s">
        <v>89</v>
      </c>
    </row>
    <row r="336" spans="1:13">
      <c r="A336" s="94" t="s">
        <v>24</v>
      </c>
      <c r="B336" s="76" t="s">
        <v>324</v>
      </c>
      <c r="C336" s="26" t="s">
        <v>325</v>
      </c>
      <c r="D336" s="26" t="s">
        <v>326</v>
      </c>
      <c r="E336" s="226">
        <v>3</v>
      </c>
      <c r="F336" s="26">
        <v>40000</v>
      </c>
      <c r="G336" s="2">
        <f t="shared" si="30"/>
        <v>120000</v>
      </c>
      <c r="H336" s="238">
        <f t="shared" si="31"/>
        <v>6000</v>
      </c>
      <c r="I336" s="51">
        <f>+F336*0.15</f>
        <v>6000</v>
      </c>
      <c r="J336" s="240">
        <f>+(F336+H336+I336)/5300</f>
        <v>9.8113207547169807</v>
      </c>
      <c r="K336" s="51">
        <f t="shared" si="29"/>
        <v>29.433962264150942</v>
      </c>
      <c r="L336" s="240">
        <f>+E336*J336</f>
        <v>29.433962264150942</v>
      </c>
      <c r="M336" s="245" t="s">
        <v>117</v>
      </c>
    </row>
    <row r="337" spans="1:13">
      <c r="A337" s="1" t="s">
        <v>24</v>
      </c>
      <c r="B337" s="76" t="s">
        <v>324</v>
      </c>
      <c r="C337" s="26" t="s">
        <v>325</v>
      </c>
      <c r="D337" s="26" t="s">
        <v>326</v>
      </c>
      <c r="E337" s="26">
        <v>3</v>
      </c>
      <c r="F337" s="26">
        <v>40000</v>
      </c>
      <c r="G337" s="2">
        <f t="shared" si="30"/>
        <v>120000</v>
      </c>
      <c r="H337" s="238">
        <f t="shared" si="31"/>
        <v>6000</v>
      </c>
      <c r="I337" s="51">
        <f t="shared" ref="I337:I344" si="32">+F337*0.2</f>
        <v>8000</v>
      </c>
      <c r="J337" s="52">
        <f>+(F337+H337+I337)/5300</f>
        <v>10.188679245283019</v>
      </c>
      <c r="K337" s="53">
        <f t="shared" si="29"/>
        <v>30.566037735849058</v>
      </c>
      <c r="L337" s="52">
        <f>J337*E337</f>
        <v>30.566037735849058</v>
      </c>
      <c r="M337" s="245" t="s">
        <v>118</v>
      </c>
    </row>
    <row r="338" spans="1:13">
      <c r="A338" s="94" t="s">
        <v>24</v>
      </c>
      <c r="B338" s="76" t="s">
        <v>324</v>
      </c>
      <c r="C338" s="26" t="s">
        <v>325</v>
      </c>
      <c r="D338" s="26" t="s">
        <v>326</v>
      </c>
      <c r="E338" s="209">
        <v>3</v>
      </c>
      <c r="F338" s="208">
        <v>40000</v>
      </c>
      <c r="G338" s="2">
        <f t="shared" si="30"/>
        <v>120000</v>
      </c>
      <c r="H338" s="51">
        <f t="shared" si="31"/>
        <v>6000</v>
      </c>
      <c r="I338" s="51">
        <f t="shared" si="32"/>
        <v>8000</v>
      </c>
      <c r="J338" s="84">
        <f>+(F338+H338+I338)/5300</f>
        <v>10.188679245283019</v>
      </c>
      <c r="K338" s="52">
        <f>J338*E338</f>
        <v>30.566037735849058</v>
      </c>
      <c r="L338" s="219"/>
      <c r="M338" s="245" t="s">
        <v>23</v>
      </c>
    </row>
    <row r="339" spans="1:13">
      <c r="A339" s="218" t="s">
        <v>24</v>
      </c>
      <c r="B339" s="76" t="s">
        <v>324</v>
      </c>
      <c r="C339" s="26" t="s">
        <v>325</v>
      </c>
      <c r="D339" s="25" t="s">
        <v>326</v>
      </c>
      <c r="E339" s="66">
        <v>3</v>
      </c>
      <c r="F339" s="25">
        <v>40000</v>
      </c>
      <c r="G339" s="9">
        <f t="shared" si="30"/>
        <v>120000</v>
      </c>
      <c r="H339" s="51">
        <f t="shared" si="31"/>
        <v>6000</v>
      </c>
      <c r="I339" s="51">
        <f t="shared" si="32"/>
        <v>8000</v>
      </c>
      <c r="J339" s="52">
        <f>+(F339+H339+I339)/5300</f>
        <v>10.188679245283019</v>
      </c>
      <c r="K339" s="53">
        <f t="shared" ref="K339:K346" si="33">+J339*E339</f>
        <v>30.566037735849058</v>
      </c>
      <c r="L339" s="54">
        <f>+J339*E339</f>
        <v>30.566037735849058</v>
      </c>
      <c r="M339" s="245" t="s">
        <v>30</v>
      </c>
    </row>
    <row r="340" spans="1:13">
      <c r="A340" s="94" t="s">
        <v>24</v>
      </c>
      <c r="B340" s="76" t="s">
        <v>324</v>
      </c>
      <c r="C340" s="26" t="s">
        <v>325</v>
      </c>
      <c r="D340" s="104" t="s">
        <v>326</v>
      </c>
      <c r="E340" s="209">
        <v>3</v>
      </c>
      <c r="F340" s="26">
        <v>40000</v>
      </c>
      <c r="G340" s="2">
        <f t="shared" si="30"/>
        <v>120000</v>
      </c>
      <c r="H340" s="238">
        <f t="shared" si="31"/>
        <v>6000</v>
      </c>
      <c r="I340" s="51">
        <f t="shared" si="32"/>
        <v>8000</v>
      </c>
      <c r="J340" s="52">
        <f>+(H340+I340+F340)/5300</f>
        <v>10.188679245283019</v>
      </c>
      <c r="K340" s="53">
        <f t="shared" si="33"/>
        <v>30.566037735849058</v>
      </c>
      <c r="L340" s="52">
        <f>E340*J340</f>
        <v>30.566037735849058</v>
      </c>
      <c r="M340" s="245" t="s">
        <v>93</v>
      </c>
    </row>
    <row r="341" spans="1:13">
      <c r="A341" s="94" t="s">
        <v>24</v>
      </c>
      <c r="B341" s="76" t="s">
        <v>324</v>
      </c>
      <c r="C341" s="26" t="s">
        <v>325</v>
      </c>
      <c r="D341" s="26" t="s">
        <v>326</v>
      </c>
      <c r="E341" s="209">
        <v>3</v>
      </c>
      <c r="F341" s="26">
        <v>40000</v>
      </c>
      <c r="G341" s="2">
        <f t="shared" si="30"/>
        <v>120000</v>
      </c>
      <c r="H341" s="238">
        <f t="shared" si="31"/>
        <v>6000</v>
      </c>
      <c r="I341" s="51">
        <f t="shared" si="32"/>
        <v>8000</v>
      </c>
      <c r="J341" s="52">
        <f t="shared" ref="J341:J348" si="34">+(F341+H341+I341)/5300</f>
        <v>10.188679245283019</v>
      </c>
      <c r="K341" s="52">
        <f t="shared" si="33"/>
        <v>30.566037735849058</v>
      </c>
      <c r="L341" s="219"/>
      <c r="M341" s="245" t="s">
        <v>87</v>
      </c>
    </row>
    <row r="342" spans="1:13">
      <c r="A342" s="94" t="s">
        <v>24</v>
      </c>
      <c r="B342" s="76" t="s">
        <v>324</v>
      </c>
      <c r="C342" s="26" t="s">
        <v>325</v>
      </c>
      <c r="D342" s="26" t="s">
        <v>326</v>
      </c>
      <c r="E342" s="209">
        <v>3</v>
      </c>
      <c r="F342" s="26">
        <v>40000</v>
      </c>
      <c r="G342" s="2">
        <f t="shared" si="30"/>
        <v>120000</v>
      </c>
      <c r="H342" s="238">
        <f t="shared" si="31"/>
        <v>6000</v>
      </c>
      <c r="I342" s="51">
        <f t="shared" si="32"/>
        <v>8000</v>
      </c>
      <c r="J342" s="128">
        <f t="shared" si="34"/>
        <v>10.188679245283019</v>
      </c>
      <c r="K342" s="53">
        <f t="shared" si="33"/>
        <v>30.566037735849058</v>
      </c>
      <c r="L342" s="52">
        <f>E342*J342</f>
        <v>30.566037735849058</v>
      </c>
      <c r="M342" s="245" t="s">
        <v>15</v>
      </c>
    </row>
    <row r="343" spans="1:13">
      <c r="A343" s="94" t="s">
        <v>212</v>
      </c>
      <c r="B343" s="95" t="s">
        <v>327</v>
      </c>
      <c r="C343" s="207" t="s">
        <v>328</v>
      </c>
      <c r="D343" s="207" t="s">
        <v>326</v>
      </c>
      <c r="E343" s="227">
        <v>27</v>
      </c>
      <c r="F343" s="236">
        <v>5000</v>
      </c>
      <c r="G343" s="236">
        <f t="shared" ref="G343:G352" si="35">F343*E343</f>
        <v>135000</v>
      </c>
      <c r="H343" s="239">
        <f t="shared" si="31"/>
        <v>750</v>
      </c>
      <c r="I343" s="206">
        <f t="shared" si="32"/>
        <v>1000</v>
      </c>
      <c r="J343" s="84">
        <f t="shared" si="34"/>
        <v>1.2735849056603774</v>
      </c>
      <c r="K343" s="241">
        <f t="shared" si="33"/>
        <v>34.386792452830193</v>
      </c>
      <c r="L343" s="219"/>
      <c r="M343" s="245" t="s">
        <v>20</v>
      </c>
    </row>
    <row r="344" spans="1:13">
      <c r="A344" s="1" t="s">
        <v>212</v>
      </c>
      <c r="B344" s="95" t="s">
        <v>327</v>
      </c>
      <c r="C344" s="26" t="s">
        <v>328</v>
      </c>
      <c r="D344" s="26" t="s">
        <v>326</v>
      </c>
      <c r="E344" s="226">
        <v>27</v>
      </c>
      <c r="F344" s="223">
        <v>5000</v>
      </c>
      <c r="G344" s="2">
        <f t="shared" si="35"/>
        <v>135000</v>
      </c>
      <c r="H344" s="51">
        <f t="shared" si="31"/>
        <v>750</v>
      </c>
      <c r="I344" s="51">
        <f t="shared" si="32"/>
        <v>1000</v>
      </c>
      <c r="J344" s="52">
        <f t="shared" si="34"/>
        <v>1.2735849056603774</v>
      </c>
      <c r="K344" s="52">
        <f t="shared" si="33"/>
        <v>34.386792452830193</v>
      </c>
      <c r="L344" s="219"/>
      <c r="M344" s="245" t="s">
        <v>89</v>
      </c>
    </row>
    <row r="345" spans="1:13">
      <c r="A345" s="94" t="s">
        <v>212</v>
      </c>
      <c r="B345" s="95" t="s">
        <v>327</v>
      </c>
      <c r="C345" s="26" t="s">
        <v>328</v>
      </c>
      <c r="D345" s="26" t="s">
        <v>326</v>
      </c>
      <c r="E345" s="226">
        <v>27</v>
      </c>
      <c r="F345" s="223">
        <v>5000</v>
      </c>
      <c r="G345" s="2">
        <f t="shared" si="35"/>
        <v>135000</v>
      </c>
      <c r="H345" s="238">
        <f t="shared" si="31"/>
        <v>750</v>
      </c>
      <c r="I345" s="51">
        <f>+F345*0.15</f>
        <v>750</v>
      </c>
      <c r="J345" s="240">
        <f t="shared" si="34"/>
        <v>1.2264150943396226</v>
      </c>
      <c r="K345" s="51">
        <f t="shared" si="33"/>
        <v>33.113207547169807</v>
      </c>
      <c r="L345" s="240">
        <f>+E345*J345</f>
        <v>33.113207547169807</v>
      </c>
      <c r="M345" s="245" t="s">
        <v>117</v>
      </c>
    </row>
    <row r="346" spans="1:13">
      <c r="A346" s="1" t="s">
        <v>212</v>
      </c>
      <c r="B346" s="95" t="s">
        <v>327</v>
      </c>
      <c r="C346" s="26" t="s">
        <v>328</v>
      </c>
      <c r="D346" s="26" t="s">
        <v>326</v>
      </c>
      <c r="E346" s="223">
        <v>27</v>
      </c>
      <c r="F346" s="223">
        <v>5000</v>
      </c>
      <c r="G346" s="2">
        <f t="shared" si="35"/>
        <v>135000</v>
      </c>
      <c r="H346" s="238">
        <f t="shared" si="31"/>
        <v>750</v>
      </c>
      <c r="I346" s="51">
        <f t="shared" ref="I346:I352" si="36">+F346*0.2</f>
        <v>1000</v>
      </c>
      <c r="J346" s="52">
        <f t="shared" si="34"/>
        <v>1.2735849056603774</v>
      </c>
      <c r="K346" s="53">
        <f t="shared" si="33"/>
        <v>34.386792452830193</v>
      </c>
      <c r="L346" s="52">
        <f>J346*E346</f>
        <v>34.386792452830193</v>
      </c>
      <c r="M346" s="245" t="s">
        <v>118</v>
      </c>
    </row>
    <row r="347" spans="1:13">
      <c r="A347" s="94" t="s">
        <v>212</v>
      </c>
      <c r="B347" s="95" t="s">
        <v>327</v>
      </c>
      <c r="C347" s="26" t="s">
        <v>328</v>
      </c>
      <c r="D347" s="26" t="s">
        <v>326</v>
      </c>
      <c r="E347" s="226">
        <v>27</v>
      </c>
      <c r="F347" s="235">
        <v>10000</v>
      </c>
      <c r="G347" s="2">
        <f t="shared" si="35"/>
        <v>270000</v>
      </c>
      <c r="H347" s="51">
        <f t="shared" si="31"/>
        <v>1500</v>
      </c>
      <c r="I347" s="51">
        <f t="shared" si="36"/>
        <v>2000</v>
      </c>
      <c r="J347" s="84">
        <f t="shared" si="34"/>
        <v>2.5471698113207548</v>
      </c>
      <c r="K347" s="52">
        <f>J347*E347</f>
        <v>68.773584905660385</v>
      </c>
      <c r="L347" s="219"/>
      <c r="M347" s="245" t="s">
        <v>23</v>
      </c>
    </row>
    <row r="348" spans="1:13">
      <c r="A348" s="218" t="s">
        <v>212</v>
      </c>
      <c r="B348" s="95" t="s">
        <v>327</v>
      </c>
      <c r="C348" s="26" t="s">
        <v>328</v>
      </c>
      <c r="D348" s="25" t="s">
        <v>326</v>
      </c>
      <c r="E348" s="49">
        <v>27</v>
      </c>
      <c r="F348" s="48">
        <v>5000</v>
      </c>
      <c r="G348" s="9">
        <f t="shared" si="35"/>
        <v>135000</v>
      </c>
      <c r="H348" s="51">
        <f t="shared" si="31"/>
        <v>750</v>
      </c>
      <c r="I348" s="51">
        <f t="shared" si="36"/>
        <v>1000</v>
      </c>
      <c r="J348" s="52">
        <f t="shared" si="34"/>
        <v>1.2735849056603774</v>
      </c>
      <c r="K348" s="53">
        <f>+J348*E348</f>
        <v>34.386792452830193</v>
      </c>
      <c r="L348" s="54">
        <f>+J348*E348</f>
        <v>34.386792452830193</v>
      </c>
      <c r="M348" s="245" t="s">
        <v>30</v>
      </c>
    </row>
    <row r="349" spans="1:13">
      <c r="A349" s="94" t="s">
        <v>212</v>
      </c>
      <c r="B349" s="95" t="s">
        <v>327</v>
      </c>
      <c r="C349" s="26" t="s">
        <v>328</v>
      </c>
      <c r="D349" s="104" t="s">
        <v>326</v>
      </c>
      <c r="E349" s="226">
        <v>27</v>
      </c>
      <c r="F349" s="223">
        <v>5000</v>
      </c>
      <c r="G349" s="2">
        <f t="shared" si="35"/>
        <v>135000</v>
      </c>
      <c r="H349" s="238">
        <f t="shared" si="31"/>
        <v>750</v>
      </c>
      <c r="I349" s="51">
        <f t="shared" si="36"/>
        <v>1000</v>
      </c>
      <c r="J349" s="52">
        <f>+(H349+I349+F349)/5300</f>
        <v>1.2735849056603774</v>
      </c>
      <c r="K349" s="53">
        <f>+J349*E349</f>
        <v>34.386792452830193</v>
      </c>
      <c r="L349" s="52">
        <f>E349*J349</f>
        <v>34.386792452830193</v>
      </c>
      <c r="M349" s="245" t="s">
        <v>93</v>
      </c>
    </row>
    <row r="350" spans="1:13">
      <c r="A350" s="94" t="s">
        <v>212</v>
      </c>
      <c r="B350" s="95" t="s">
        <v>327</v>
      </c>
      <c r="C350" s="26" t="s">
        <v>328</v>
      </c>
      <c r="D350" s="26" t="s">
        <v>326</v>
      </c>
      <c r="E350" s="226">
        <v>27</v>
      </c>
      <c r="F350" s="223">
        <v>6000</v>
      </c>
      <c r="G350" s="2">
        <f t="shared" si="35"/>
        <v>162000</v>
      </c>
      <c r="H350" s="238">
        <f t="shared" si="31"/>
        <v>900</v>
      </c>
      <c r="I350" s="51">
        <f t="shared" si="36"/>
        <v>1200</v>
      </c>
      <c r="J350" s="52">
        <f>+(F350+H350+I350)/5300</f>
        <v>1.5283018867924529</v>
      </c>
      <c r="K350" s="52">
        <f>+J350*E350</f>
        <v>41.264150943396231</v>
      </c>
      <c r="L350" s="219"/>
      <c r="M350" s="245" t="s">
        <v>87</v>
      </c>
    </row>
    <row r="351" spans="1:13">
      <c r="A351" s="94" t="s">
        <v>212</v>
      </c>
      <c r="B351" s="95" t="s">
        <v>327</v>
      </c>
      <c r="C351" s="26" t="s">
        <v>328</v>
      </c>
      <c r="D351" s="26" t="s">
        <v>326</v>
      </c>
      <c r="E351" s="226">
        <v>27</v>
      </c>
      <c r="F351" s="223">
        <v>5000</v>
      </c>
      <c r="G351" s="2">
        <f t="shared" si="35"/>
        <v>135000</v>
      </c>
      <c r="H351" s="238">
        <f t="shared" si="31"/>
        <v>750</v>
      </c>
      <c r="I351" s="51">
        <f t="shared" si="36"/>
        <v>1000</v>
      </c>
      <c r="J351" s="128">
        <f>+(F351+H351+I351)/5300</f>
        <v>1.2735849056603774</v>
      </c>
      <c r="K351" s="53">
        <f>+J351*E351</f>
        <v>34.386792452830193</v>
      </c>
      <c r="L351" s="52">
        <f>E351*J351</f>
        <v>34.386792452830193</v>
      </c>
      <c r="M351" s="245" t="s">
        <v>15</v>
      </c>
    </row>
    <row r="352" spans="1:13">
      <c r="A352" s="218" t="s">
        <v>212</v>
      </c>
      <c r="B352" s="95" t="s">
        <v>327</v>
      </c>
      <c r="C352" s="26" t="s">
        <v>328</v>
      </c>
      <c r="D352" s="25" t="s">
        <v>326</v>
      </c>
      <c r="E352" s="49">
        <v>54</v>
      </c>
      <c r="F352" s="48">
        <v>10000</v>
      </c>
      <c r="G352" s="9">
        <f t="shared" si="35"/>
        <v>540000</v>
      </c>
      <c r="H352" s="51">
        <f t="shared" si="31"/>
        <v>1500</v>
      </c>
      <c r="I352" s="51">
        <f t="shared" si="36"/>
        <v>2000</v>
      </c>
      <c r="J352" s="128">
        <f>+(I352+H352+F352)/5300</f>
        <v>2.5471698113207548</v>
      </c>
      <c r="K352" s="53">
        <f>+J352*E352</f>
        <v>137.54716981132077</v>
      </c>
      <c r="L352" s="52">
        <f>J352*E352</f>
        <v>137.54716981132077</v>
      </c>
      <c r="M352" s="245" t="s">
        <v>17</v>
      </c>
    </row>
    <row r="353" spans="1:13">
      <c r="A353" s="151" t="s">
        <v>329</v>
      </c>
      <c r="B353" s="5" t="s">
        <v>329</v>
      </c>
      <c r="C353" s="34" t="s">
        <v>330</v>
      </c>
      <c r="D353" s="5"/>
      <c r="E353" s="5"/>
      <c r="F353" s="30"/>
      <c r="G353" s="335"/>
      <c r="H353" s="30"/>
      <c r="I353" s="32"/>
      <c r="J353" s="37"/>
      <c r="K353" s="27"/>
      <c r="L353" s="37"/>
      <c r="M353" s="245" t="s">
        <v>30</v>
      </c>
    </row>
    <row r="354" spans="1:13">
      <c r="A354" s="284" t="s">
        <v>329</v>
      </c>
      <c r="B354" s="5" t="s">
        <v>329</v>
      </c>
      <c r="C354" s="34" t="s">
        <v>330</v>
      </c>
      <c r="D354" s="5"/>
      <c r="E354" s="5"/>
      <c r="F354" s="30"/>
      <c r="G354" s="31"/>
      <c r="H354" s="32"/>
      <c r="I354" s="32"/>
      <c r="J354" s="54"/>
      <c r="K354" s="73"/>
      <c r="L354" s="54"/>
      <c r="M354" s="245" t="s">
        <v>30</v>
      </c>
    </row>
    <row r="355" spans="1:13">
      <c r="A355" s="284" t="s">
        <v>329</v>
      </c>
      <c r="B355" s="5" t="s">
        <v>329</v>
      </c>
      <c r="C355" s="34" t="s">
        <v>330</v>
      </c>
      <c r="D355" s="5"/>
      <c r="E355" s="79"/>
      <c r="F355" s="22"/>
      <c r="G355" s="93"/>
      <c r="H355" s="40"/>
      <c r="I355" s="40"/>
      <c r="J355" s="71"/>
      <c r="K355" s="76"/>
      <c r="L355" s="84"/>
      <c r="M355" s="245" t="s">
        <v>30</v>
      </c>
    </row>
    <row r="356" spans="1:13">
      <c r="A356" s="151" t="s">
        <v>329</v>
      </c>
      <c r="B356" s="5" t="s">
        <v>329</v>
      </c>
      <c r="C356" s="44" t="s">
        <v>331</v>
      </c>
      <c r="D356" s="27"/>
      <c r="E356" s="36"/>
      <c r="F356" s="107"/>
      <c r="G356" s="103"/>
      <c r="H356" s="32"/>
      <c r="I356" s="32"/>
      <c r="J356" s="128"/>
      <c r="K356" s="53"/>
      <c r="L356" s="52" t="s">
        <v>28</v>
      </c>
      <c r="M356" s="245" t="s">
        <v>17</v>
      </c>
    </row>
    <row r="357" spans="1:13">
      <c r="A357" s="151" t="s">
        <v>329</v>
      </c>
      <c r="B357" s="5" t="s">
        <v>329</v>
      </c>
      <c r="C357" s="44" t="s">
        <v>331</v>
      </c>
      <c r="D357" s="27"/>
      <c r="E357" s="36"/>
      <c r="F357" s="25"/>
      <c r="G357" s="28"/>
      <c r="H357" s="32"/>
      <c r="I357" s="32"/>
      <c r="J357" s="128"/>
      <c r="K357" s="53"/>
      <c r="L357" s="129"/>
      <c r="M357" s="245" t="s">
        <v>17</v>
      </c>
    </row>
    <row r="358" spans="1:13">
      <c r="A358" s="151" t="s">
        <v>329</v>
      </c>
      <c r="B358" s="5" t="s">
        <v>329</v>
      </c>
      <c r="C358" s="44" t="s">
        <v>331</v>
      </c>
      <c r="D358" s="27"/>
      <c r="E358" s="36"/>
      <c r="F358" s="107"/>
      <c r="G358" s="103"/>
      <c r="H358" s="32"/>
      <c r="I358" s="32"/>
      <c r="J358" s="41"/>
      <c r="K358" s="53"/>
      <c r="L358" s="52"/>
      <c r="M358" s="245" t="s">
        <v>17</v>
      </c>
    </row>
    <row r="359" spans="1:13">
      <c r="A359" s="317" t="s">
        <v>332</v>
      </c>
      <c r="B359" s="101" t="s">
        <v>333</v>
      </c>
      <c r="C359" s="114" t="s">
        <v>334</v>
      </c>
      <c r="D359" s="36"/>
      <c r="E359" s="36"/>
      <c r="F359" s="107"/>
      <c r="G359" s="103"/>
      <c r="H359" s="32"/>
      <c r="I359" s="32"/>
      <c r="J359" s="128"/>
      <c r="K359" s="53"/>
      <c r="L359" s="129"/>
      <c r="M359" s="245" t="s">
        <v>17</v>
      </c>
    </row>
    <row r="360" spans="1:13">
      <c r="A360" s="151" t="s">
        <v>335</v>
      </c>
      <c r="B360" s="101" t="s">
        <v>333</v>
      </c>
      <c r="C360" s="34" t="s">
        <v>336</v>
      </c>
      <c r="D360" s="27"/>
      <c r="E360" s="27"/>
      <c r="F360" s="32"/>
      <c r="G360" s="33"/>
      <c r="H360" s="32"/>
      <c r="I360" s="32"/>
      <c r="J360" s="37"/>
      <c r="K360" s="27"/>
      <c r="L360" s="37">
        <f>+J360*E360</f>
        <v>0</v>
      </c>
      <c r="M360" s="245" t="s">
        <v>30</v>
      </c>
    </row>
    <row r="361" spans="1:13">
      <c r="A361" s="284" t="s">
        <v>335</v>
      </c>
      <c r="B361" s="101" t="s">
        <v>333</v>
      </c>
      <c r="C361" s="34" t="s">
        <v>336</v>
      </c>
      <c r="D361" s="27"/>
      <c r="E361" s="27"/>
      <c r="F361" s="32"/>
      <c r="G361" s="33"/>
      <c r="H361" s="32"/>
      <c r="I361" s="32"/>
      <c r="J361" s="54"/>
      <c r="K361" s="73"/>
      <c r="L361" s="54"/>
      <c r="M361" s="245" t="s">
        <v>30</v>
      </c>
    </row>
    <row r="362" spans="1:13" ht="27.6">
      <c r="A362" s="318" t="s">
        <v>337</v>
      </c>
      <c r="B362" s="36" t="s">
        <v>338</v>
      </c>
      <c r="C362" s="115" t="s">
        <v>339</v>
      </c>
      <c r="D362" s="108" t="s">
        <v>175</v>
      </c>
      <c r="E362" s="36">
        <v>3</v>
      </c>
      <c r="F362" s="105"/>
      <c r="G362" s="106"/>
      <c r="H362" s="40"/>
      <c r="I362" s="40"/>
      <c r="J362" s="90">
        <v>160</v>
      </c>
      <c r="K362" s="131"/>
      <c r="L362" s="142">
        <f>J362*E362</f>
        <v>480</v>
      </c>
      <c r="M362" s="245" t="s">
        <v>17</v>
      </c>
    </row>
    <row r="363" spans="1:13" ht="27.6">
      <c r="A363" s="318" t="s">
        <v>340</v>
      </c>
      <c r="B363" s="36" t="s">
        <v>341</v>
      </c>
      <c r="C363" s="115" t="s">
        <v>342</v>
      </c>
      <c r="D363" s="108" t="s">
        <v>175</v>
      </c>
      <c r="E363" s="36">
        <v>4</v>
      </c>
      <c r="F363" s="105"/>
      <c r="G363" s="106"/>
      <c r="H363" s="40"/>
      <c r="I363" s="40"/>
      <c r="J363" s="90">
        <v>90</v>
      </c>
      <c r="K363" s="131"/>
      <c r="L363" s="142">
        <f>J363*E363</f>
        <v>360</v>
      </c>
      <c r="M363" s="245" t="s">
        <v>17</v>
      </c>
    </row>
    <row r="364" spans="1:13" ht="28.15">
      <c r="A364" s="218" t="s">
        <v>343</v>
      </c>
      <c r="B364" s="36" t="s">
        <v>344</v>
      </c>
      <c r="C364" s="29" t="s">
        <v>345</v>
      </c>
      <c r="D364" s="27" t="s">
        <v>346</v>
      </c>
      <c r="E364" s="27">
        <v>4</v>
      </c>
      <c r="F364" s="32"/>
      <c r="G364" s="33"/>
      <c r="H364" s="32"/>
      <c r="I364" s="32"/>
      <c r="J364" s="37">
        <f>900000/5300</f>
        <v>169.81132075471697</v>
      </c>
      <c r="K364" s="27">
        <f>+J364*E364</f>
        <v>679.24528301886789</v>
      </c>
      <c r="L364" s="37">
        <f>+J364*E364</f>
        <v>679.24528301886789</v>
      </c>
      <c r="M364" s="245" t="s">
        <v>30</v>
      </c>
    </row>
    <row r="365" spans="1:13" ht="28.15">
      <c r="A365" s="218" t="s">
        <v>347</v>
      </c>
      <c r="B365" s="36" t="s">
        <v>348</v>
      </c>
      <c r="C365" s="29" t="s">
        <v>349</v>
      </c>
      <c r="D365" s="27" t="s">
        <v>346</v>
      </c>
      <c r="E365" s="27">
        <v>1</v>
      </c>
      <c r="F365" s="32"/>
      <c r="G365" s="33"/>
      <c r="H365" s="32"/>
      <c r="I365" s="32"/>
      <c r="J365" s="37">
        <f>700000/5300</f>
        <v>132.0754716981132</v>
      </c>
      <c r="K365" s="27">
        <f>SUM(K331:K364)</f>
        <v>1501.3584905660377</v>
      </c>
      <c r="L365" s="37">
        <f>+J365*E365</f>
        <v>132.0754716981132</v>
      </c>
      <c r="M365" s="245" t="s">
        <v>30</v>
      </c>
    </row>
    <row r="366" spans="1:13">
      <c r="A366" s="315" t="s">
        <v>350</v>
      </c>
      <c r="B366" s="36" t="s">
        <v>351</v>
      </c>
      <c r="C366" s="29" t="s">
        <v>352</v>
      </c>
      <c r="D366" s="27" t="s">
        <v>140</v>
      </c>
      <c r="E366" s="27">
        <v>1</v>
      </c>
      <c r="F366" s="32"/>
      <c r="G366" s="33"/>
      <c r="H366" s="32"/>
      <c r="I366" s="32"/>
      <c r="J366" s="54">
        <v>50</v>
      </c>
      <c r="K366" s="73">
        <f>+J366*E366</f>
        <v>50</v>
      </c>
      <c r="L366" s="54">
        <f>+J366*E366</f>
        <v>50</v>
      </c>
      <c r="M366" s="245" t="s">
        <v>30</v>
      </c>
    </row>
    <row r="367" spans="1:13" ht="28.15">
      <c r="A367" s="218" t="s">
        <v>350</v>
      </c>
      <c r="B367" s="36" t="s">
        <v>353</v>
      </c>
      <c r="C367" s="29" t="s">
        <v>354</v>
      </c>
      <c r="D367" s="27" t="s">
        <v>123</v>
      </c>
      <c r="E367" s="27">
        <v>1</v>
      </c>
      <c r="F367" s="32"/>
      <c r="G367" s="33"/>
      <c r="H367" s="32"/>
      <c r="I367" s="32"/>
      <c r="J367" s="37">
        <f>200000/5300</f>
        <v>37.735849056603776</v>
      </c>
      <c r="K367" s="27">
        <f>SUM(K333:K366)</f>
        <v>3052.7169811320755</v>
      </c>
      <c r="L367" s="37">
        <f>+J367*E367</f>
        <v>37.735849056603776</v>
      </c>
      <c r="M367" s="245" t="s">
        <v>30</v>
      </c>
    </row>
    <row r="368" spans="1:13">
      <c r="A368" s="317" t="s">
        <v>355</v>
      </c>
      <c r="B368" s="101" t="s">
        <v>356</v>
      </c>
      <c r="C368" s="116" t="s">
        <v>357</v>
      </c>
      <c r="D368" s="36"/>
      <c r="E368" s="36"/>
      <c r="F368" s="32"/>
      <c r="G368" s="33"/>
      <c r="H368" s="32"/>
      <c r="I368" s="32"/>
      <c r="J368" s="128"/>
      <c r="K368" s="53"/>
      <c r="L368" s="129"/>
      <c r="M368" s="245" t="s">
        <v>17</v>
      </c>
    </row>
    <row r="369" spans="1:13">
      <c r="A369" s="317" t="s">
        <v>355</v>
      </c>
      <c r="B369" s="101" t="s">
        <v>356</v>
      </c>
      <c r="C369" s="116" t="s">
        <v>357</v>
      </c>
      <c r="D369" s="36"/>
      <c r="E369" s="36"/>
      <c r="F369" s="105"/>
      <c r="G369" s="106"/>
      <c r="H369" s="32"/>
      <c r="I369" s="32"/>
      <c r="J369" s="41"/>
      <c r="K369" s="53"/>
      <c r="L369" s="52"/>
      <c r="M369" s="245" t="s">
        <v>17</v>
      </c>
    </row>
    <row r="370" spans="1:13">
      <c r="A370" s="151" t="s">
        <v>358</v>
      </c>
      <c r="B370" s="101" t="s">
        <v>356</v>
      </c>
      <c r="C370" s="34" t="s">
        <v>359</v>
      </c>
      <c r="D370" s="5"/>
      <c r="E370" s="5"/>
      <c r="F370" s="30"/>
      <c r="G370" s="31"/>
      <c r="H370" s="32"/>
      <c r="I370" s="32"/>
      <c r="J370" s="37"/>
      <c r="K370" s="27"/>
      <c r="L370" s="37"/>
      <c r="M370" s="245" t="s">
        <v>30</v>
      </c>
    </row>
    <row r="371" spans="1:13">
      <c r="A371" s="284" t="s">
        <v>358</v>
      </c>
      <c r="B371" s="101" t="s">
        <v>356</v>
      </c>
      <c r="C371" s="34" t="s">
        <v>359</v>
      </c>
      <c r="D371" s="5"/>
      <c r="E371" s="5"/>
      <c r="F371" s="30"/>
      <c r="G371" s="31"/>
      <c r="H371" s="32"/>
      <c r="I371" s="32"/>
      <c r="J371" s="54"/>
      <c r="K371" s="73"/>
      <c r="L371" s="54"/>
      <c r="M371" s="245" t="s">
        <v>30</v>
      </c>
    </row>
    <row r="372" spans="1:13">
      <c r="A372" s="284" t="s">
        <v>358</v>
      </c>
      <c r="B372" s="101" t="s">
        <v>356</v>
      </c>
      <c r="C372" s="34" t="s">
        <v>359</v>
      </c>
      <c r="D372" s="5"/>
      <c r="E372" s="79"/>
      <c r="F372" s="22"/>
      <c r="G372" s="93"/>
      <c r="H372" s="40"/>
      <c r="I372" s="40"/>
      <c r="J372" s="71"/>
      <c r="K372" s="76"/>
      <c r="L372" s="84"/>
      <c r="M372" s="245" t="s">
        <v>30</v>
      </c>
    </row>
    <row r="373" spans="1:13" ht="28.15">
      <c r="A373" s="218" t="s">
        <v>360</v>
      </c>
      <c r="B373" s="27" t="s">
        <v>361</v>
      </c>
      <c r="C373" s="29" t="s">
        <v>362</v>
      </c>
      <c r="D373" s="27" t="s">
        <v>346</v>
      </c>
      <c r="E373" s="27">
        <v>3</v>
      </c>
      <c r="F373" s="32"/>
      <c r="G373" s="33"/>
      <c r="H373" s="32"/>
      <c r="I373" s="32"/>
      <c r="J373" s="37">
        <f>800000/5300</f>
        <v>150.9433962264151</v>
      </c>
      <c r="K373" s="27"/>
      <c r="L373" s="37">
        <f>+J373*E373</f>
        <v>452.83018867924534</v>
      </c>
      <c r="M373" s="245" t="s">
        <v>30</v>
      </c>
    </row>
    <row r="374" spans="1:13" ht="28.15">
      <c r="A374" s="315" t="s">
        <v>360</v>
      </c>
      <c r="B374" s="27" t="s">
        <v>363</v>
      </c>
      <c r="C374" s="29" t="s">
        <v>364</v>
      </c>
      <c r="D374" s="27" t="s">
        <v>346</v>
      </c>
      <c r="E374" s="70">
        <f>4*4</f>
        <v>16</v>
      </c>
      <c r="F374" s="40"/>
      <c r="G374" s="87"/>
      <c r="H374" s="40"/>
      <c r="I374" s="40"/>
      <c r="J374" s="84">
        <f>450000/5300</f>
        <v>84.905660377358487</v>
      </c>
      <c r="K374" s="76">
        <f>+J374*E374</f>
        <v>1358.4905660377358</v>
      </c>
      <c r="L374" s="84">
        <f>+J374*E374</f>
        <v>1358.4905660377358</v>
      </c>
      <c r="M374" s="245" t="s">
        <v>30</v>
      </c>
    </row>
    <row r="375" spans="1:13" ht="28.15">
      <c r="A375" s="315" t="s">
        <v>360</v>
      </c>
      <c r="B375" s="27" t="s">
        <v>365</v>
      </c>
      <c r="C375" s="29" t="s">
        <v>366</v>
      </c>
      <c r="D375" s="27" t="s">
        <v>346</v>
      </c>
      <c r="E375" s="27">
        <v>14</v>
      </c>
      <c r="F375" s="32"/>
      <c r="G375" s="33"/>
      <c r="H375" s="32"/>
      <c r="I375" s="32"/>
      <c r="J375" s="86">
        <f>+J323</f>
        <v>0</v>
      </c>
      <c r="K375" s="73">
        <f>+J375*E375</f>
        <v>0</v>
      </c>
      <c r="L375" s="54">
        <f>+J375*E375</f>
        <v>0</v>
      </c>
      <c r="M375" s="245" t="s">
        <v>30</v>
      </c>
    </row>
    <row r="376" spans="1:13">
      <c r="A376" s="218" t="s">
        <v>367</v>
      </c>
      <c r="B376" s="27" t="s">
        <v>368</v>
      </c>
      <c r="C376" s="29" t="s">
        <v>369</v>
      </c>
      <c r="D376" s="27" t="s">
        <v>346</v>
      </c>
      <c r="E376" s="27">
        <v>2</v>
      </c>
      <c r="F376" s="32"/>
      <c r="G376" s="33"/>
      <c r="H376" s="32"/>
      <c r="I376" s="32"/>
      <c r="J376" s="37">
        <f>500000/5300</f>
        <v>94.339622641509436</v>
      </c>
      <c r="K376" s="27">
        <f>+J376*E376</f>
        <v>188.67924528301887</v>
      </c>
      <c r="L376" s="37">
        <f>+J376*E376</f>
        <v>188.67924528301887</v>
      </c>
      <c r="M376" s="245" t="s">
        <v>30</v>
      </c>
    </row>
    <row r="377" spans="1:13">
      <c r="A377" s="317" t="s">
        <v>355</v>
      </c>
      <c r="B377" s="101" t="s">
        <v>370</v>
      </c>
      <c r="C377" s="116" t="s">
        <v>371</v>
      </c>
      <c r="D377" s="36"/>
      <c r="E377" s="36"/>
      <c r="F377" s="40"/>
      <c r="G377" s="103"/>
      <c r="H377" s="40"/>
      <c r="I377" s="40"/>
      <c r="J377" s="90"/>
      <c r="K377" s="131"/>
      <c r="L377" s="68"/>
      <c r="M377" s="245" t="s">
        <v>17</v>
      </c>
    </row>
    <row r="378" spans="1:13" ht="27.6">
      <c r="A378" s="318" t="s">
        <v>372</v>
      </c>
      <c r="B378" s="36" t="s">
        <v>373</v>
      </c>
      <c r="C378" s="115" t="s">
        <v>374</v>
      </c>
      <c r="D378" s="36" t="s">
        <v>175</v>
      </c>
      <c r="E378" s="36">
        <v>24</v>
      </c>
      <c r="F378" s="105"/>
      <c r="G378" s="106"/>
      <c r="H378" s="27"/>
      <c r="I378" s="27"/>
      <c r="J378" s="41">
        <f>+J351</f>
        <v>1.2735849056603774</v>
      </c>
      <c r="K378" s="76"/>
      <c r="L378" s="71">
        <f>J378*E378</f>
        <v>30.566037735849058</v>
      </c>
      <c r="M378" s="245" t="s">
        <v>17</v>
      </c>
    </row>
    <row r="379" spans="1:13" ht="27.6">
      <c r="A379" s="318" t="s">
        <v>372</v>
      </c>
      <c r="B379" s="36" t="s">
        <v>373</v>
      </c>
      <c r="C379" s="115" t="s">
        <v>375</v>
      </c>
      <c r="D379" s="88" t="s">
        <v>175</v>
      </c>
      <c r="E379" s="88">
        <v>32</v>
      </c>
      <c r="F379" s="85"/>
      <c r="G379" s="148"/>
      <c r="H379" s="85"/>
      <c r="I379" s="85"/>
      <c r="J379" s="90">
        <v>60</v>
      </c>
      <c r="K379" s="89"/>
      <c r="L379" s="149">
        <f>J379*E379</f>
        <v>1920</v>
      </c>
      <c r="M379" s="245" t="s">
        <v>17</v>
      </c>
    </row>
    <row r="380" spans="1:13" ht="27.6">
      <c r="A380" s="318" t="s">
        <v>372</v>
      </c>
      <c r="B380" s="36" t="s">
        <v>376</v>
      </c>
      <c r="C380" s="115" t="s">
        <v>377</v>
      </c>
      <c r="D380" s="36" t="s">
        <v>175</v>
      </c>
      <c r="E380" s="36">
        <v>1</v>
      </c>
      <c r="F380" s="105"/>
      <c r="G380" s="106"/>
      <c r="H380" s="27"/>
      <c r="I380" s="27"/>
      <c r="J380" s="90">
        <v>180</v>
      </c>
      <c r="K380" s="76">
        <f>+J380*E380</f>
        <v>180</v>
      </c>
      <c r="L380" s="71">
        <f>J380*E380</f>
        <v>180</v>
      </c>
      <c r="M380" s="245" t="s">
        <v>17</v>
      </c>
    </row>
    <row r="381" spans="1:13">
      <c r="A381" s="287" t="s">
        <v>378</v>
      </c>
      <c r="B381" s="78" t="s">
        <v>378</v>
      </c>
      <c r="C381" s="72" t="s">
        <v>379</v>
      </c>
      <c r="D381" s="27"/>
      <c r="E381" s="36"/>
      <c r="F381" s="107"/>
      <c r="G381" s="103"/>
      <c r="H381" s="32"/>
      <c r="I381" s="32"/>
      <c r="J381" s="128"/>
      <c r="K381" s="53"/>
      <c r="L381" s="129"/>
      <c r="M381" s="245" t="s">
        <v>17</v>
      </c>
    </row>
    <row r="382" spans="1:13">
      <c r="A382" s="218" t="s">
        <v>380</v>
      </c>
      <c r="B382" s="27" t="s">
        <v>381</v>
      </c>
      <c r="C382" s="26" t="s">
        <v>382</v>
      </c>
      <c r="D382" s="27" t="s">
        <v>67</v>
      </c>
      <c r="E382" s="88">
        <f>28.35-1.65-0.2*9</f>
        <v>24.900000000000002</v>
      </c>
      <c r="F382" s="134"/>
      <c r="G382" s="135"/>
      <c r="H382" s="32"/>
      <c r="I382" s="32"/>
      <c r="J382" s="128">
        <v>1.5</v>
      </c>
      <c r="K382" s="53"/>
      <c r="L382" s="52">
        <f>J382*E382</f>
        <v>37.35</v>
      </c>
      <c r="M382" s="245" t="s">
        <v>17</v>
      </c>
    </row>
    <row r="383" spans="1:13" ht="15.6">
      <c r="A383" s="218" t="s">
        <v>383</v>
      </c>
      <c r="B383" s="27" t="s">
        <v>384</v>
      </c>
      <c r="C383" s="113" t="s">
        <v>385</v>
      </c>
      <c r="D383" s="27" t="s">
        <v>386</v>
      </c>
      <c r="E383" s="88">
        <v>101.26</v>
      </c>
      <c r="F383" s="134"/>
      <c r="G383" s="135"/>
      <c r="H383" s="32"/>
      <c r="I383" s="32"/>
      <c r="J383" s="128">
        <v>10</v>
      </c>
      <c r="K383" s="53"/>
      <c r="L383" s="52">
        <f>J383*E383</f>
        <v>1012.6</v>
      </c>
      <c r="M383" s="245" t="s">
        <v>17</v>
      </c>
    </row>
    <row r="384" spans="1:13" ht="15.6">
      <c r="A384" s="218" t="s">
        <v>387</v>
      </c>
      <c r="B384" s="27" t="s">
        <v>388</v>
      </c>
      <c r="C384" s="113" t="s">
        <v>389</v>
      </c>
      <c r="D384" s="27" t="s">
        <v>386</v>
      </c>
      <c r="E384" s="88">
        <v>33.299999999999997</v>
      </c>
      <c r="F384" s="134"/>
      <c r="G384" s="135"/>
      <c r="H384" s="32"/>
      <c r="I384" s="32"/>
      <c r="J384" s="128">
        <v>20</v>
      </c>
      <c r="K384" s="53">
        <f>+J384*E384</f>
        <v>666</v>
      </c>
      <c r="L384" s="52">
        <f>J384*E384</f>
        <v>666</v>
      </c>
      <c r="M384" s="245" t="s">
        <v>17</v>
      </c>
    </row>
    <row r="385" spans="1:13">
      <c r="A385" s="287" t="s">
        <v>390</v>
      </c>
      <c r="B385" s="78" t="s">
        <v>390</v>
      </c>
      <c r="C385" s="72" t="s">
        <v>391</v>
      </c>
      <c r="D385" s="5"/>
      <c r="E385" s="36"/>
      <c r="F385" s="107"/>
      <c r="G385" s="103"/>
      <c r="H385" s="32"/>
      <c r="I385" s="32"/>
      <c r="J385" s="128"/>
      <c r="K385" s="53"/>
      <c r="L385" s="129"/>
      <c r="M385" s="245" t="s">
        <v>17</v>
      </c>
    </row>
    <row r="386" spans="1:13" ht="15.6">
      <c r="A386" s="218" t="s">
        <v>392</v>
      </c>
      <c r="B386" s="27" t="s">
        <v>393</v>
      </c>
      <c r="C386" s="26" t="s">
        <v>394</v>
      </c>
      <c r="D386" s="27" t="s">
        <v>386</v>
      </c>
      <c r="E386" s="133">
        <f>119.02*0.05</f>
        <v>5.9510000000000005</v>
      </c>
      <c r="F386" s="138"/>
      <c r="G386" s="139"/>
      <c r="H386" s="40"/>
      <c r="I386" s="40"/>
      <c r="J386" s="90">
        <v>7</v>
      </c>
      <c r="K386" s="81"/>
      <c r="L386" s="140">
        <f>J386*E386</f>
        <v>41.657000000000004</v>
      </c>
      <c r="M386" s="245" t="s">
        <v>17</v>
      </c>
    </row>
    <row r="387" spans="1:13" ht="15.6">
      <c r="A387" s="218" t="s">
        <v>395</v>
      </c>
      <c r="B387" s="27" t="s">
        <v>396</v>
      </c>
      <c r="C387" s="26" t="s">
        <v>397</v>
      </c>
      <c r="D387" s="27" t="s">
        <v>39</v>
      </c>
      <c r="E387" s="133">
        <f>119.02*0.25</f>
        <v>29.754999999999999</v>
      </c>
      <c r="F387" s="138"/>
      <c r="G387" s="139"/>
      <c r="H387" s="40"/>
      <c r="I387" s="40"/>
      <c r="J387" s="90">
        <v>13</v>
      </c>
      <c r="K387" s="81"/>
      <c r="L387" s="140">
        <f>J387*E387</f>
        <v>386.815</v>
      </c>
      <c r="M387" s="245" t="s">
        <v>17</v>
      </c>
    </row>
    <row r="388" spans="1:13" ht="15.6">
      <c r="A388" s="218" t="s">
        <v>398</v>
      </c>
      <c r="B388" s="27" t="s">
        <v>399</v>
      </c>
      <c r="C388" s="26" t="s">
        <v>400</v>
      </c>
      <c r="D388" s="27" t="s">
        <v>386</v>
      </c>
      <c r="E388" s="133">
        <f>97.01</f>
        <v>97.01</v>
      </c>
      <c r="F388" s="138"/>
      <c r="G388" s="139"/>
      <c r="H388" s="40"/>
      <c r="I388" s="40"/>
      <c r="J388" s="90">
        <v>1</v>
      </c>
      <c r="K388" s="81"/>
      <c r="L388" s="140">
        <f>J388*E388</f>
        <v>97.01</v>
      </c>
      <c r="M388" s="245" t="s">
        <v>17</v>
      </c>
    </row>
    <row r="389" spans="1:13">
      <c r="A389" s="316" t="s">
        <v>401</v>
      </c>
      <c r="B389" s="120" t="s">
        <v>401</v>
      </c>
      <c r="C389" s="116" t="s">
        <v>402</v>
      </c>
      <c r="D389" s="120"/>
      <c r="E389" s="116"/>
      <c r="F389" s="116"/>
      <c r="G389" s="116"/>
      <c r="H389" s="32"/>
      <c r="I389" s="32"/>
      <c r="J389" s="128"/>
      <c r="K389" s="53">
        <f>+J389*E389</f>
        <v>0</v>
      </c>
      <c r="L389" s="52"/>
      <c r="M389" s="245" t="s">
        <v>17</v>
      </c>
    </row>
    <row r="390" spans="1:13">
      <c r="A390" s="151" t="s">
        <v>403</v>
      </c>
      <c r="B390" s="120" t="s">
        <v>401</v>
      </c>
      <c r="C390" s="30" t="s">
        <v>404</v>
      </c>
      <c r="D390" s="32"/>
      <c r="E390" s="27"/>
      <c r="F390" s="32"/>
      <c r="G390" s="33"/>
      <c r="H390" s="32"/>
      <c r="I390" s="32"/>
      <c r="J390" s="37"/>
      <c r="K390" s="27">
        <f>SUM(K385:K389)</f>
        <v>0</v>
      </c>
      <c r="L390" s="37">
        <f>+J390*E390</f>
        <v>0</v>
      </c>
      <c r="M390" s="245" t="s">
        <v>30</v>
      </c>
    </row>
    <row r="391" spans="1:13">
      <c r="A391" s="284" t="s">
        <v>403</v>
      </c>
      <c r="B391" s="120" t="s">
        <v>401</v>
      </c>
      <c r="C391" s="30" t="s">
        <v>404</v>
      </c>
      <c r="D391" s="32"/>
      <c r="E391" s="27"/>
      <c r="F391" s="32"/>
      <c r="G391" s="33"/>
      <c r="H391" s="32"/>
      <c r="I391" s="32"/>
      <c r="J391" s="54"/>
      <c r="K391" s="73"/>
      <c r="L391" s="54"/>
      <c r="M391" s="245" t="s">
        <v>30</v>
      </c>
    </row>
    <row r="392" spans="1:13">
      <c r="A392" s="284" t="s">
        <v>403</v>
      </c>
      <c r="B392" s="120" t="s">
        <v>401</v>
      </c>
      <c r="C392" s="30" t="s">
        <v>404</v>
      </c>
      <c r="D392" s="40"/>
      <c r="E392" s="70"/>
      <c r="F392" s="40"/>
      <c r="G392" s="87"/>
      <c r="H392" s="40"/>
      <c r="I392" s="40"/>
      <c r="J392" s="83"/>
      <c r="K392" s="82"/>
      <c r="L392" s="91"/>
      <c r="M392" s="245" t="s">
        <v>30</v>
      </c>
    </row>
    <row r="393" spans="1:13">
      <c r="A393" s="284" t="s">
        <v>403</v>
      </c>
      <c r="B393" s="120" t="s">
        <v>401</v>
      </c>
      <c r="C393" s="30" t="s">
        <v>404</v>
      </c>
      <c r="D393" s="27"/>
      <c r="E393" s="70"/>
      <c r="F393" s="30"/>
      <c r="G393" s="31"/>
      <c r="H393" s="32"/>
      <c r="I393" s="32"/>
      <c r="J393" s="128"/>
      <c r="K393" s="53"/>
      <c r="L393" s="129"/>
      <c r="M393" s="245" t="s">
        <v>17</v>
      </c>
    </row>
    <row r="394" spans="1:13">
      <c r="A394" s="284" t="s">
        <v>403</v>
      </c>
      <c r="B394" s="120" t="s">
        <v>401</v>
      </c>
      <c r="C394" s="30" t="s">
        <v>404</v>
      </c>
      <c r="D394" s="27"/>
      <c r="E394" s="70"/>
      <c r="F394" s="25"/>
      <c r="G394" s="123"/>
      <c r="H394" s="32"/>
      <c r="I394" s="32"/>
      <c r="J394" s="128"/>
      <c r="K394" s="53"/>
      <c r="L394" s="52"/>
      <c r="M394" s="245" t="s">
        <v>17</v>
      </c>
    </row>
    <row r="395" spans="1:13">
      <c r="A395" s="284" t="s">
        <v>403</v>
      </c>
      <c r="B395" s="120" t="s">
        <v>401</v>
      </c>
      <c r="C395" s="30" t="s">
        <v>404</v>
      </c>
      <c r="D395" s="27"/>
      <c r="E395" s="70"/>
      <c r="F395" s="25"/>
      <c r="G395" s="123"/>
      <c r="H395" s="32"/>
      <c r="I395" s="32"/>
      <c r="J395" s="41"/>
      <c r="K395" s="53"/>
      <c r="L395" s="52"/>
      <c r="M395" s="245" t="s">
        <v>17</v>
      </c>
    </row>
    <row r="396" spans="1:13" ht="28.15">
      <c r="A396" s="315" t="s">
        <v>405</v>
      </c>
      <c r="B396" s="369" t="s">
        <v>406</v>
      </c>
      <c r="C396" s="29" t="s">
        <v>407</v>
      </c>
      <c r="D396" s="27" t="s">
        <v>114</v>
      </c>
      <c r="E396" s="27">
        <v>103.8</v>
      </c>
      <c r="F396" s="32"/>
      <c r="G396" s="33"/>
      <c r="H396" s="32"/>
      <c r="I396" s="32"/>
      <c r="J396" s="86" t="e">
        <f>+#REF!</f>
        <v>#REF!</v>
      </c>
      <c r="K396" s="73"/>
      <c r="L396" s="54" t="e">
        <f>+J396*E396</f>
        <v>#REF!</v>
      </c>
      <c r="M396" s="245" t="s">
        <v>30</v>
      </c>
    </row>
    <row r="397" spans="1:13">
      <c r="A397" s="319" t="s">
        <v>408</v>
      </c>
      <c r="B397" s="121" t="s">
        <v>409</v>
      </c>
      <c r="C397" s="115" t="s">
        <v>410</v>
      </c>
      <c r="D397" s="121" t="s">
        <v>261</v>
      </c>
      <c r="E397" s="115" t="e">
        <f>#REF!-E398</f>
        <v>#REF!</v>
      </c>
      <c r="F397" s="115"/>
      <c r="G397" s="115"/>
      <c r="H397" s="32"/>
      <c r="I397" s="32"/>
      <c r="J397" s="128">
        <v>2.6</v>
      </c>
      <c r="K397" s="53"/>
      <c r="L397" s="52" t="e">
        <f>+J397*E397</f>
        <v>#REF!</v>
      </c>
      <c r="M397" s="245" t="s">
        <v>17</v>
      </c>
    </row>
    <row r="398" spans="1:13">
      <c r="A398" s="319" t="s">
        <v>408</v>
      </c>
      <c r="B398" s="121" t="s">
        <v>409</v>
      </c>
      <c r="C398" s="115" t="s">
        <v>410</v>
      </c>
      <c r="D398" s="121" t="s">
        <v>261</v>
      </c>
      <c r="E398" s="115">
        <f>67*3.8</f>
        <v>254.6</v>
      </c>
      <c r="F398" s="30"/>
      <c r="G398" s="31"/>
      <c r="H398" s="32"/>
      <c r="I398" s="32"/>
      <c r="J398" s="128">
        <v>2.6</v>
      </c>
      <c r="K398" s="32"/>
      <c r="L398" s="129">
        <f>J398*E398</f>
        <v>661.96</v>
      </c>
      <c r="M398" s="245" t="s">
        <v>17</v>
      </c>
    </row>
    <row r="399" spans="1:13">
      <c r="A399" s="319" t="s">
        <v>408</v>
      </c>
      <c r="B399" s="121" t="s">
        <v>409</v>
      </c>
      <c r="C399" s="115" t="s">
        <v>410</v>
      </c>
      <c r="D399" s="121" t="s">
        <v>261</v>
      </c>
      <c r="E399" s="121">
        <v>210.66800000000001</v>
      </c>
      <c r="F399" s="7"/>
      <c r="G399" s="150"/>
      <c r="H399" s="40"/>
      <c r="I399" s="40"/>
      <c r="J399" s="130">
        <v>2.6</v>
      </c>
      <c r="K399" s="131">
        <f>+J399*E399</f>
        <v>547.73680000000002</v>
      </c>
      <c r="L399" s="68">
        <f>J399*E399</f>
        <v>547.73680000000002</v>
      </c>
      <c r="M399" s="245" t="s">
        <v>17</v>
      </c>
    </row>
    <row r="400" spans="1:13">
      <c r="A400" s="319" t="s">
        <v>408</v>
      </c>
      <c r="B400" s="121" t="s">
        <v>409</v>
      </c>
      <c r="C400" s="115" t="s">
        <v>410</v>
      </c>
      <c r="D400" s="121" t="s">
        <v>261</v>
      </c>
      <c r="E400" s="115">
        <v>24.477</v>
      </c>
      <c r="F400" s="25"/>
      <c r="G400" s="123"/>
      <c r="H400" s="32"/>
      <c r="I400" s="32"/>
      <c r="J400" s="41" t="e">
        <f>+#REF!</f>
        <v>#REF!</v>
      </c>
      <c r="K400" s="53" t="e">
        <f>+J400*E400</f>
        <v>#REF!</v>
      </c>
      <c r="L400" s="52" t="e">
        <f>J400*E400</f>
        <v>#REF!</v>
      </c>
      <c r="M400" s="245" t="s">
        <v>17</v>
      </c>
    </row>
    <row r="401" spans="1:13" ht="15.6">
      <c r="A401" s="315" t="s">
        <v>409</v>
      </c>
      <c r="B401" s="121" t="s">
        <v>409</v>
      </c>
      <c r="C401" s="29" t="s">
        <v>411</v>
      </c>
      <c r="D401" s="27" t="s">
        <v>114</v>
      </c>
      <c r="E401" s="27">
        <f>137.4*1.5</f>
        <v>206.10000000000002</v>
      </c>
      <c r="F401" s="32"/>
      <c r="G401" s="33"/>
      <c r="H401" s="32"/>
      <c r="I401" s="32"/>
      <c r="J401" s="86" t="e">
        <f>+#REF!</f>
        <v>#REF!</v>
      </c>
      <c r="K401" s="73"/>
      <c r="L401" s="54" t="e">
        <f t="shared" ref="L401:L408" si="37">+J401*E401</f>
        <v>#REF!</v>
      </c>
      <c r="M401" s="245" t="s">
        <v>30</v>
      </c>
    </row>
    <row r="402" spans="1:13" ht="15.6">
      <c r="A402" s="218" t="s">
        <v>409</v>
      </c>
      <c r="B402" s="121" t="s">
        <v>409</v>
      </c>
      <c r="C402" s="32" t="s">
        <v>412</v>
      </c>
      <c r="D402" s="27" t="s">
        <v>114</v>
      </c>
      <c r="E402" s="27">
        <f>E384</f>
        <v>33.299999999999997</v>
      </c>
      <c r="F402" s="32"/>
      <c r="G402" s="33"/>
      <c r="H402" s="32"/>
      <c r="I402" s="32"/>
      <c r="J402" s="37">
        <v>2.2641509433962264</v>
      </c>
      <c r="K402" s="27" t="e">
        <f>SUM(K384:K401)</f>
        <v>#REF!</v>
      </c>
      <c r="L402" s="37">
        <f t="shared" si="37"/>
        <v>75.396226415094333</v>
      </c>
      <c r="M402" s="245" t="s">
        <v>30</v>
      </c>
    </row>
    <row r="403" spans="1:13" ht="15.6">
      <c r="A403" s="218" t="s">
        <v>405</v>
      </c>
      <c r="B403" s="121" t="s">
        <v>409</v>
      </c>
      <c r="C403" s="32" t="s">
        <v>413</v>
      </c>
      <c r="D403" s="27" t="s">
        <v>114</v>
      </c>
      <c r="E403" s="27">
        <f>135.4*3.2+50*3.6+6.62+3.6</f>
        <v>623.5</v>
      </c>
      <c r="F403" s="32"/>
      <c r="G403" s="33"/>
      <c r="H403" s="32"/>
      <c r="I403" s="32"/>
      <c r="J403" s="37">
        <v>2.2641509433962264</v>
      </c>
      <c r="K403" s="27" t="e">
        <f>SUM(K383:K402)</f>
        <v>#REF!</v>
      </c>
      <c r="L403" s="37">
        <f t="shared" si="37"/>
        <v>1411.6981132075471</v>
      </c>
      <c r="M403" s="245" t="s">
        <v>30</v>
      </c>
    </row>
    <row r="404" spans="1:13" ht="15.6">
      <c r="A404" s="218" t="s">
        <v>414</v>
      </c>
      <c r="B404" s="121" t="s">
        <v>409</v>
      </c>
      <c r="C404" s="29" t="s">
        <v>415</v>
      </c>
      <c r="D404" s="27" t="s">
        <v>114</v>
      </c>
      <c r="E404" s="27">
        <f>105.5*2*0.22</f>
        <v>46.42</v>
      </c>
      <c r="F404" s="32"/>
      <c r="G404" s="33"/>
      <c r="H404" s="32"/>
      <c r="I404" s="32"/>
      <c r="J404" s="37">
        <v>2.2641509433962264</v>
      </c>
      <c r="K404" s="27" t="e">
        <f>SUM(K380:K403)</f>
        <v>#REF!</v>
      </c>
      <c r="L404" s="37">
        <f t="shared" si="37"/>
        <v>105.10188679245283</v>
      </c>
      <c r="M404" s="245" t="s">
        <v>30</v>
      </c>
    </row>
    <row r="405" spans="1:13">
      <c r="A405" s="319" t="s">
        <v>416</v>
      </c>
      <c r="B405" s="121" t="s">
        <v>405</v>
      </c>
      <c r="C405" s="115" t="s">
        <v>417</v>
      </c>
      <c r="D405" s="121" t="s">
        <v>261</v>
      </c>
      <c r="E405" s="115">
        <f>29.5*0.22*2</f>
        <v>12.98</v>
      </c>
      <c r="F405" s="115"/>
      <c r="G405" s="115"/>
      <c r="H405" s="32"/>
      <c r="I405" s="32"/>
      <c r="J405" s="128">
        <v>2.6</v>
      </c>
      <c r="K405" s="76"/>
      <c r="L405" s="52">
        <f t="shared" si="37"/>
        <v>33.748000000000005</v>
      </c>
      <c r="M405" s="245" t="s">
        <v>17</v>
      </c>
    </row>
    <row r="406" spans="1:13" ht="15.6">
      <c r="A406" s="315" t="s">
        <v>405</v>
      </c>
      <c r="B406" s="121" t="s">
        <v>405</v>
      </c>
      <c r="C406" s="29" t="s">
        <v>418</v>
      </c>
      <c r="D406" s="27" t="s">
        <v>114</v>
      </c>
      <c r="E406" s="27">
        <f>42.8*2*0.22</f>
        <v>18.831999999999997</v>
      </c>
      <c r="F406" s="32"/>
      <c r="G406" s="33"/>
      <c r="H406" s="32"/>
      <c r="I406" s="32"/>
      <c r="J406" s="86" t="e">
        <f>+#REF!</f>
        <v>#REF!</v>
      </c>
      <c r="K406" s="73" t="e">
        <f>+J406*E406</f>
        <v>#REF!</v>
      </c>
      <c r="L406" s="54" t="e">
        <f t="shared" si="37"/>
        <v>#REF!</v>
      </c>
      <c r="M406" s="245" t="s">
        <v>30</v>
      </c>
    </row>
    <row r="407" spans="1:13" ht="15.6">
      <c r="A407" s="315" t="s">
        <v>405</v>
      </c>
      <c r="B407" s="121" t="s">
        <v>405</v>
      </c>
      <c r="C407" s="29" t="s">
        <v>418</v>
      </c>
      <c r="D407" s="27" t="s">
        <v>114</v>
      </c>
      <c r="E407" s="70">
        <f>9.8*4*2*0.22</f>
        <v>17.248000000000001</v>
      </c>
      <c r="F407" s="40"/>
      <c r="G407" s="87"/>
      <c r="H407" s="40"/>
      <c r="I407" s="40"/>
      <c r="J407" s="41" t="e">
        <f>+#REF!</f>
        <v>#REF!</v>
      </c>
      <c r="K407" s="76"/>
      <c r="L407" s="91" t="e">
        <f t="shared" si="37"/>
        <v>#REF!</v>
      </c>
      <c r="M407" s="245" t="s">
        <v>30</v>
      </c>
    </row>
    <row r="408" spans="1:13">
      <c r="A408" s="319" t="s">
        <v>419</v>
      </c>
      <c r="B408" s="121" t="s">
        <v>414</v>
      </c>
      <c r="C408" s="115" t="s">
        <v>420</v>
      </c>
      <c r="D408" s="121" t="s">
        <v>261</v>
      </c>
      <c r="E408" s="115">
        <f>1.65*2*2.55+1.5*1.7*3*2+0.7*1.45*2*4</f>
        <v>31.834999999999994</v>
      </c>
      <c r="F408" s="115"/>
      <c r="G408" s="115"/>
      <c r="H408" s="32"/>
      <c r="I408" s="32"/>
      <c r="J408" s="128">
        <v>2.6</v>
      </c>
      <c r="K408" s="76"/>
      <c r="L408" s="52">
        <f t="shared" si="37"/>
        <v>82.770999999999987</v>
      </c>
      <c r="M408" s="245" t="s">
        <v>17</v>
      </c>
    </row>
    <row r="409" spans="1:13" ht="15.6">
      <c r="A409" s="315" t="s">
        <v>421</v>
      </c>
      <c r="B409" s="121" t="s">
        <v>414</v>
      </c>
      <c r="C409" s="29" t="s">
        <v>422</v>
      </c>
      <c r="D409" s="27" t="s">
        <v>114</v>
      </c>
      <c r="E409" s="70">
        <f>2*2.15*3*2+2*3.15*2+0.9*2.1*3*2</f>
        <v>49.739999999999995</v>
      </c>
      <c r="F409" s="107"/>
      <c r="G409" s="103"/>
      <c r="H409" s="32"/>
      <c r="I409" s="32"/>
      <c r="J409" s="128">
        <v>2.6</v>
      </c>
      <c r="K409" s="32"/>
      <c r="L409" s="129">
        <f>J409*E409</f>
        <v>129.32399999999998</v>
      </c>
      <c r="M409" s="245" t="s">
        <v>17</v>
      </c>
    </row>
    <row r="410" spans="1:13" ht="15.6">
      <c r="A410" s="315" t="s">
        <v>421</v>
      </c>
      <c r="B410" s="121" t="s">
        <v>414</v>
      </c>
      <c r="C410" s="29" t="s">
        <v>422</v>
      </c>
      <c r="D410" s="27" t="s">
        <v>114</v>
      </c>
      <c r="E410" s="70">
        <f>33*0.65*2*2</f>
        <v>85.8</v>
      </c>
      <c r="F410" s="7"/>
      <c r="G410" s="150"/>
      <c r="H410" s="40"/>
      <c r="I410" s="40"/>
      <c r="J410" s="130">
        <v>2.6</v>
      </c>
      <c r="K410" s="131">
        <f>+J410*E410</f>
        <v>223.08</v>
      </c>
      <c r="L410" s="68">
        <f>J410*E410</f>
        <v>223.08</v>
      </c>
      <c r="M410" s="245" t="s">
        <v>17</v>
      </c>
    </row>
    <row r="411" spans="1:13" ht="15.6">
      <c r="A411" s="315" t="s">
        <v>421</v>
      </c>
      <c r="B411" s="121" t="s">
        <v>414</v>
      </c>
      <c r="C411" s="29" t="s">
        <v>422</v>
      </c>
      <c r="D411" s="27" t="s">
        <v>114</v>
      </c>
      <c r="E411" s="70">
        <f>24*0.6*2*2</f>
        <v>57.599999999999994</v>
      </c>
      <c r="F411" s="25"/>
      <c r="G411" s="123"/>
      <c r="H411" s="32"/>
      <c r="I411" s="32"/>
      <c r="J411" s="41" t="e">
        <f>+#REF!</f>
        <v>#REF!</v>
      </c>
      <c r="K411" s="82"/>
      <c r="L411" s="52" t="e">
        <f>J411*E411</f>
        <v>#REF!</v>
      </c>
      <c r="M411" s="245" t="s">
        <v>17</v>
      </c>
    </row>
    <row r="412" spans="1:13" ht="15.6">
      <c r="A412" s="315" t="s">
        <v>421</v>
      </c>
      <c r="B412" s="121" t="s">
        <v>414</v>
      </c>
      <c r="C412" s="29" t="s">
        <v>423</v>
      </c>
      <c r="D412" s="27" t="s">
        <v>114</v>
      </c>
      <c r="E412" s="70">
        <f>4*1.9*16</f>
        <v>121.6</v>
      </c>
      <c r="F412" s="40"/>
      <c r="G412" s="87"/>
      <c r="H412" s="40"/>
      <c r="I412" s="40"/>
      <c r="J412" s="41" t="e">
        <f>+#REF!</f>
        <v>#REF!</v>
      </c>
      <c r="K412" s="76" t="e">
        <f>+J412*E412</f>
        <v>#REF!</v>
      </c>
      <c r="L412" s="84" t="e">
        <f>+J412*E412</f>
        <v>#REF!</v>
      </c>
      <c r="M412" s="245" t="s">
        <v>30</v>
      </c>
    </row>
    <row r="413" spans="1:13" ht="15.6">
      <c r="A413" s="315" t="s">
        <v>421</v>
      </c>
      <c r="B413" s="121" t="s">
        <v>414</v>
      </c>
      <c r="C413" s="29" t="s">
        <v>424</v>
      </c>
      <c r="D413" s="27" t="s">
        <v>114</v>
      </c>
      <c r="E413" s="27">
        <f>14*2*0.9*2.1</f>
        <v>52.92</v>
      </c>
      <c r="F413" s="32"/>
      <c r="G413" s="33"/>
      <c r="H413" s="32"/>
      <c r="I413" s="32"/>
      <c r="J413" s="86" t="e">
        <f>+#REF!</f>
        <v>#REF!</v>
      </c>
      <c r="K413" s="73"/>
      <c r="L413" s="54" t="e">
        <f>+J413*E413</f>
        <v>#REF!</v>
      </c>
      <c r="M413" s="245" t="s">
        <v>30</v>
      </c>
    </row>
    <row r="414" spans="1:13" ht="15.6">
      <c r="A414" s="218" t="s">
        <v>421</v>
      </c>
      <c r="B414" s="121" t="s">
        <v>414</v>
      </c>
      <c r="C414" s="207" t="s">
        <v>425</v>
      </c>
      <c r="D414" s="85" t="s">
        <v>114</v>
      </c>
      <c r="E414" s="27">
        <f>1.8*2*13*2+2.1*0.9*27*2+0.7*0.6*2*6</f>
        <v>200.70000000000002</v>
      </c>
      <c r="F414" s="85"/>
      <c r="G414" s="148"/>
      <c r="H414" s="85"/>
      <c r="I414" s="85"/>
      <c r="J414" s="37">
        <v>2.4528301886792452</v>
      </c>
      <c r="K414" s="37" t="e">
        <f>SUM(K389:K413)</f>
        <v>#REF!</v>
      </c>
      <c r="L414" s="37">
        <f>+J414*E414</f>
        <v>492.28301886792457</v>
      </c>
      <c r="M414" s="245" t="s">
        <v>30</v>
      </c>
    </row>
    <row r="415" spans="1:13">
      <c r="A415" s="319" t="s">
        <v>426</v>
      </c>
      <c r="B415" s="121" t="s">
        <v>421</v>
      </c>
      <c r="C415" s="115" t="s">
        <v>427</v>
      </c>
      <c r="D415" s="121" t="s">
        <v>261</v>
      </c>
      <c r="E415" s="115">
        <v>6.96</v>
      </c>
      <c r="F415" s="115"/>
      <c r="G415" s="115"/>
      <c r="H415" s="32"/>
      <c r="I415" s="32"/>
      <c r="J415" s="128">
        <v>3.6</v>
      </c>
      <c r="K415" s="76"/>
      <c r="L415" s="52">
        <f>+J415*E415</f>
        <v>25.056000000000001</v>
      </c>
      <c r="M415" s="245" t="s">
        <v>17</v>
      </c>
    </row>
    <row r="416" spans="1:13" ht="15.6">
      <c r="A416" s="315" t="s">
        <v>428</v>
      </c>
      <c r="B416" s="40" t="s">
        <v>428</v>
      </c>
      <c r="C416" s="29" t="s">
        <v>429</v>
      </c>
      <c r="D416" s="27" t="s">
        <v>114</v>
      </c>
      <c r="E416" s="70">
        <f>451.43</f>
        <v>451.43</v>
      </c>
      <c r="F416" s="27"/>
      <c r="G416" s="38"/>
      <c r="H416" s="27"/>
      <c r="I416" s="27"/>
      <c r="J416" s="41">
        <v>2.6</v>
      </c>
      <c r="K416" s="76">
        <f>+J416*E416</f>
        <v>1173.7180000000001</v>
      </c>
      <c r="L416" s="71">
        <f>J416*E416</f>
        <v>1173.7180000000001</v>
      </c>
      <c r="M416" s="245" t="s">
        <v>17</v>
      </c>
    </row>
    <row r="417" spans="1:13" ht="15.6">
      <c r="A417" s="315" t="s">
        <v>428</v>
      </c>
      <c r="B417" s="40" t="s">
        <v>428</v>
      </c>
      <c r="C417" s="29" t="s">
        <v>429</v>
      </c>
      <c r="D417" s="27" t="s">
        <v>114</v>
      </c>
      <c r="E417" s="70">
        <f>451.7-7.2</f>
        <v>444.5</v>
      </c>
      <c r="F417" s="25"/>
      <c r="G417" s="123"/>
      <c r="H417" s="32"/>
      <c r="I417" s="32"/>
      <c r="J417" s="41" t="e">
        <f>+#REF!</f>
        <v>#REF!</v>
      </c>
      <c r="K417" s="53"/>
      <c r="L417" s="52" t="e">
        <f>J417*E417</f>
        <v>#REF!</v>
      </c>
      <c r="M417" s="245" t="s">
        <v>17</v>
      </c>
    </row>
    <row r="418" spans="1:13" ht="15.6">
      <c r="A418" s="315" t="s">
        <v>428</v>
      </c>
      <c r="B418" s="40" t="s">
        <v>428</v>
      </c>
      <c r="C418" s="29" t="s">
        <v>430</v>
      </c>
      <c r="D418" s="27" t="s">
        <v>114</v>
      </c>
      <c r="E418" s="27">
        <f>137.4*2.1</f>
        <v>288.54000000000002</v>
      </c>
      <c r="F418" s="32"/>
      <c r="G418" s="33"/>
      <c r="H418" s="32"/>
      <c r="I418" s="32"/>
      <c r="J418" s="86" t="e">
        <f>J417</f>
        <v>#REF!</v>
      </c>
      <c r="K418" s="73" t="e">
        <f>+J418*E418</f>
        <v>#REF!</v>
      </c>
      <c r="L418" s="54" t="e">
        <f>+J418*E418</f>
        <v>#REF!</v>
      </c>
      <c r="M418" s="245" t="s">
        <v>30</v>
      </c>
    </row>
    <row r="419" spans="1:13" ht="28.15">
      <c r="A419" s="315" t="s">
        <v>428</v>
      </c>
      <c r="B419" s="40" t="s">
        <v>431</v>
      </c>
      <c r="C419" s="29" t="s">
        <v>432</v>
      </c>
      <c r="D419" s="27" t="s">
        <v>114</v>
      </c>
      <c r="E419" s="70">
        <v>130.5</v>
      </c>
      <c r="F419" s="105"/>
      <c r="G419" s="106"/>
      <c r="H419" s="32"/>
      <c r="I419" s="32"/>
      <c r="J419" s="128">
        <v>4</v>
      </c>
      <c r="K419" s="32"/>
      <c r="L419" s="129">
        <f>J419*E419</f>
        <v>522</v>
      </c>
      <c r="M419" s="245" t="s">
        <v>17</v>
      </c>
    </row>
    <row r="420" spans="1:13">
      <c r="A420" s="151" t="s">
        <v>433</v>
      </c>
      <c r="B420" s="5" t="s">
        <v>434</v>
      </c>
      <c r="C420" s="30" t="s">
        <v>435</v>
      </c>
      <c r="D420" s="30"/>
      <c r="E420" s="5"/>
      <c r="F420" s="30"/>
      <c r="G420" s="31"/>
      <c r="H420" s="32"/>
      <c r="I420" s="32"/>
      <c r="J420" s="37"/>
      <c r="K420" s="27">
        <f>SUM(K385:K390)</f>
        <v>0</v>
      </c>
      <c r="L420" s="37"/>
      <c r="M420" s="245" t="s">
        <v>30</v>
      </c>
    </row>
    <row r="421" spans="1:13">
      <c r="A421" s="284" t="s">
        <v>433</v>
      </c>
      <c r="B421" s="5" t="s">
        <v>434</v>
      </c>
      <c r="C421" s="30" t="s">
        <v>435</v>
      </c>
      <c r="D421" s="5"/>
      <c r="E421" s="5"/>
      <c r="F421" s="30"/>
      <c r="G421" s="31"/>
      <c r="H421" s="32"/>
      <c r="I421" s="32"/>
      <c r="J421" s="54"/>
      <c r="K421" s="73"/>
      <c r="L421" s="54"/>
      <c r="M421" s="245" t="s">
        <v>30</v>
      </c>
    </row>
    <row r="422" spans="1:13">
      <c r="A422" s="284" t="s">
        <v>433</v>
      </c>
      <c r="B422" s="5" t="s">
        <v>434</v>
      </c>
      <c r="C422" s="30" t="s">
        <v>435</v>
      </c>
      <c r="D422" s="22"/>
      <c r="E422" s="79"/>
      <c r="F422" s="22"/>
      <c r="G422" s="93"/>
      <c r="H422" s="40"/>
      <c r="I422" s="40"/>
      <c r="J422" s="41"/>
      <c r="K422" s="76"/>
      <c r="L422" s="84"/>
      <c r="M422" s="245" t="s">
        <v>30</v>
      </c>
    </row>
    <row r="423" spans="1:13">
      <c r="A423" s="284" t="s">
        <v>433</v>
      </c>
      <c r="B423" s="5" t="s">
        <v>434</v>
      </c>
      <c r="C423" s="30" t="s">
        <v>435</v>
      </c>
      <c r="D423" s="5"/>
      <c r="E423" s="79"/>
      <c r="F423" s="25"/>
      <c r="G423" s="123"/>
      <c r="H423" s="32"/>
      <c r="I423" s="32"/>
      <c r="J423" s="128"/>
      <c r="K423" s="53"/>
      <c r="L423" s="52"/>
      <c r="M423" s="245" t="s">
        <v>17</v>
      </c>
    </row>
    <row r="424" spans="1:13">
      <c r="A424" s="284" t="s">
        <v>433</v>
      </c>
      <c r="B424" s="5" t="s">
        <v>434</v>
      </c>
      <c r="C424" s="30" t="s">
        <v>435</v>
      </c>
      <c r="D424" s="5"/>
      <c r="E424" s="79"/>
      <c r="F424" s="25"/>
      <c r="G424" s="123"/>
      <c r="H424" s="32"/>
      <c r="I424" s="32"/>
      <c r="J424" s="41"/>
      <c r="K424" s="53"/>
      <c r="L424" s="52"/>
      <c r="M424" s="245" t="s">
        <v>17</v>
      </c>
    </row>
    <row r="425" spans="1:13" ht="42">
      <c r="A425" s="218" t="s">
        <v>436</v>
      </c>
      <c r="B425" s="27" t="s">
        <v>437</v>
      </c>
      <c r="C425" s="29" t="s">
        <v>438</v>
      </c>
      <c r="D425" s="27" t="s">
        <v>140</v>
      </c>
      <c r="E425" s="27">
        <v>1</v>
      </c>
      <c r="F425" s="32"/>
      <c r="G425" s="33"/>
      <c r="H425" s="32"/>
      <c r="I425" s="32"/>
      <c r="J425" s="37">
        <f>1000000/5300</f>
        <v>188.67924528301887</v>
      </c>
      <c r="K425" s="27" t="e">
        <f>SUM(K385:K424)</f>
        <v>#REF!</v>
      </c>
      <c r="L425" s="37">
        <f>+J425*E425</f>
        <v>188.67924528301887</v>
      </c>
      <c r="M425" s="245" t="s">
        <v>30</v>
      </c>
    </row>
    <row r="426" spans="1:13" ht="28.15">
      <c r="A426" s="315" t="s">
        <v>436</v>
      </c>
      <c r="B426" s="27" t="s">
        <v>439</v>
      </c>
      <c r="C426" s="29" t="s">
        <v>440</v>
      </c>
      <c r="D426" s="27" t="s">
        <v>140</v>
      </c>
      <c r="E426" s="70">
        <v>1</v>
      </c>
      <c r="F426" s="27"/>
      <c r="G426" s="38"/>
      <c r="H426" s="27"/>
      <c r="I426" s="27"/>
      <c r="J426" s="90">
        <v>150</v>
      </c>
      <c r="K426" s="76">
        <f>+J426*E426</f>
        <v>150</v>
      </c>
      <c r="L426" s="71">
        <f>J426*E426</f>
        <v>150</v>
      </c>
      <c r="M426" s="245" t="s">
        <v>17</v>
      </c>
    </row>
    <row r="427" spans="1:13" ht="28.15">
      <c r="A427" s="315" t="s">
        <v>436</v>
      </c>
      <c r="B427" s="27" t="s">
        <v>439</v>
      </c>
      <c r="C427" s="29" t="s">
        <v>440</v>
      </c>
      <c r="D427" s="27" t="s">
        <v>140</v>
      </c>
      <c r="E427" s="70">
        <v>1</v>
      </c>
      <c r="F427" s="25"/>
      <c r="G427" s="123"/>
      <c r="H427" s="32"/>
      <c r="I427" s="32"/>
      <c r="J427" s="41">
        <f>+J399</f>
        <v>2.6</v>
      </c>
      <c r="K427" s="53"/>
      <c r="L427" s="52">
        <f>J427*E427</f>
        <v>2.6</v>
      </c>
      <c r="M427" s="245" t="s">
        <v>17</v>
      </c>
    </row>
    <row r="428" spans="1:13">
      <c r="A428" s="151" t="s">
        <v>441</v>
      </c>
      <c r="B428" s="5" t="s">
        <v>442</v>
      </c>
      <c r="C428" s="30" t="s">
        <v>443</v>
      </c>
      <c r="D428" s="27"/>
      <c r="E428" s="5"/>
      <c r="F428" s="30"/>
      <c r="G428" s="31"/>
      <c r="H428" s="32"/>
      <c r="I428" s="32"/>
      <c r="J428" s="37"/>
      <c r="K428" s="27" t="e">
        <f>SUM(K397:K427)</f>
        <v>#REF!</v>
      </c>
      <c r="L428" s="37"/>
      <c r="M428" s="245" t="s">
        <v>30</v>
      </c>
    </row>
    <row r="429" spans="1:13">
      <c r="A429" s="284" t="s">
        <v>441</v>
      </c>
      <c r="B429" s="5" t="s">
        <v>442</v>
      </c>
      <c r="C429" s="30" t="s">
        <v>443</v>
      </c>
      <c r="D429" s="5"/>
      <c r="E429" s="5"/>
      <c r="F429" s="30"/>
      <c r="G429" s="31"/>
      <c r="H429" s="32"/>
      <c r="I429" s="32"/>
      <c r="J429" s="54"/>
      <c r="K429" s="73"/>
      <c r="L429" s="54"/>
      <c r="M429" s="245" t="s">
        <v>30</v>
      </c>
    </row>
    <row r="430" spans="1:13">
      <c r="A430" s="284" t="s">
        <v>441</v>
      </c>
      <c r="B430" s="5" t="s">
        <v>442</v>
      </c>
      <c r="C430" s="30" t="s">
        <v>443</v>
      </c>
      <c r="D430" s="22"/>
      <c r="E430" s="79"/>
      <c r="F430" s="22"/>
      <c r="G430" s="93"/>
      <c r="H430" s="40"/>
      <c r="I430" s="40"/>
      <c r="J430" s="41"/>
      <c r="K430" s="76"/>
      <c r="L430" s="84"/>
      <c r="M430" s="245" t="s">
        <v>30</v>
      </c>
    </row>
    <row r="431" spans="1:13">
      <c r="A431" s="315" t="s">
        <v>441</v>
      </c>
      <c r="B431" s="40" t="s">
        <v>444</v>
      </c>
      <c r="C431" s="26" t="s">
        <v>445</v>
      </c>
      <c r="D431" s="27" t="s">
        <v>140</v>
      </c>
      <c r="E431" s="36">
        <v>1</v>
      </c>
      <c r="F431" s="5"/>
      <c r="G431" s="5"/>
      <c r="H431" s="27"/>
      <c r="I431" s="27"/>
      <c r="J431" s="90">
        <v>150</v>
      </c>
      <c r="K431" s="76">
        <f>+J431*E431</f>
        <v>150</v>
      </c>
      <c r="L431" s="71">
        <f>J431*E431</f>
        <v>150</v>
      </c>
      <c r="M431" s="245" t="s">
        <v>17</v>
      </c>
    </row>
    <row r="432" spans="1:13">
      <c r="A432" s="315" t="s">
        <v>441</v>
      </c>
      <c r="B432" s="40" t="s">
        <v>444</v>
      </c>
      <c r="C432" s="26" t="s">
        <v>445</v>
      </c>
      <c r="D432" s="27" t="s">
        <v>140</v>
      </c>
      <c r="E432" s="36">
        <v>1</v>
      </c>
      <c r="F432" s="25"/>
      <c r="G432" s="123"/>
      <c r="H432" s="32"/>
      <c r="I432" s="32"/>
      <c r="J432" s="41">
        <v>150</v>
      </c>
      <c r="K432" s="53">
        <f>+J432*E432</f>
        <v>150</v>
      </c>
      <c r="L432" s="52">
        <f>J432*E432</f>
        <v>150</v>
      </c>
      <c r="M432" s="245" t="s">
        <v>17</v>
      </c>
    </row>
    <row r="433" spans="1:13">
      <c r="A433" s="218" t="s">
        <v>446</v>
      </c>
      <c r="B433" s="40" t="s">
        <v>447</v>
      </c>
      <c r="C433" s="32" t="s">
        <v>448</v>
      </c>
      <c r="D433" s="27" t="s">
        <v>346</v>
      </c>
      <c r="E433" s="27">
        <v>4</v>
      </c>
      <c r="F433" s="32"/>
      <c r="G433" s="336"/>
      <c r="H433" s="32"/>
      <c r="I433" s="32"/>
      <c r="J433" s="37">
        <f>250000/5300</f>
        <v>47.169811320754718</v>
      </c>
      <c r="K433" s="27" t="e">
        <f>SUM(K385:K432)</f>
        <v>#REF!</v>
      </c>
      <c r="L433" s="37">
        <f>+J433*E433</f>
        <v>188.67924528301887</v>
      </c>
      <c r="M433" s="245" t="s">
        <v>30</v>
      </c>
    </row>
    <row r="434" spans="1:13">
      <c r="A434" s="315" t="s">
        <v>449</v>
      </c>
      <c r="B434" s="40" t="s">
        <v>450</v>
      </c>
      <c r="C434" s="32" t="s">
        <v>451</v>
      </c>
      <c r="D434" s="27" t="s">
        <v>346</v>
      </c>
      <c r="E434" s="27">
        <v>5</v>
      </c>
      <c r="F434" s="40"/>
      <c r="G434" s="87"/>
      <c r="H434" s="40"/>
      <c r="I434" s="40"/>
      <c r="J434" s="80">
        <f>250000/5300</f>
        <v>47.169811320754718</v>
      </c>
      <c r="K434" s="81"/>
      <c r="L434" s="80">
        <f>+J434*E434</f>
        <v>235.84905660377359</v>
      </c>
      <c r="M434" s="245" t="s">
        <v>30</v>
      </c>
    </row>
    <row r="435" spans="1:13">
      <c r="A435" s="315" t="s">
        <v>449</v>
      </c>
      <c r="B435" s="40" t="s">
        <v>450</v>
      </c>
      <c r="C435" s="32" t="s">
        <v>451</v>
      </c>
      <c r="D435" s="40" t="s">
        <v>346</v>
      </c>
      <c r="E435" s="70">
        <v>8</v>
      </c>
      <c r="F435" s="40"/>
      <c r="G435" s="87"/>
      <c r="H435" s="40"/>
      <c r="I435" s="40"/>
      <c r="J435" s="41" t="e">
        <f>J411</f>
        <v>#REF!</v>
      </c>
      <c r="K435" s="76" t="e">
        <f>+J435*E435</f>
        <v>#REF!</v>
      </c>
      <c r="L435" s="84" t="e">
        <f>+J435*E435</f>
        <v>#REF!</v>
      </c>
      <c r="M435" s="245" t="s">
        <v>30</v>
      </c>
    </row>
    <row r="436" spans="1:13" ht="28.15">
      <c r="A436" s="315" t="s">
        <v>452</v>
      </c>
      <c r="B436" s="40" t="s">
        <v>453</v>
      </c>
      <c r="C436" s="29" t="s">
        <v>454</v>
      </c>
      <c r="D436" s="27" t="s">
        <v>346</v>
      </c>
      <c r="E436" s="27">
        <v>9</v>
      </c>
      <c r="F436" s="40"/>
      <c r="G436" s="87"/>
      <c r="H436" s="40"/>
      <c r="I436" s="40"/>
      <c r="J436" s="71">
        <f>+(150000)/5300</f>
        <v>28.30188679245283</v>
      </c>
      <c r="K436" s="81">
        <f>+J436*E436</f>
        <v>254.71698113207546</v>
      </c>
      <c r="L436" s="80">
        <f>+J436*E436</f>
        <v>254.71698113207546</v>
      </c>
      <c r="M436" s="245" t="s">
        <v>30</v>
      </c>
    </row>
    <row r="437" spans="1:13" ht="28.15">
      <c r="A437" s="315" t="s">
        <v>452</v>
      </c>
      <c r="B437" s="40" t="s">
        <v>453</v>
      </c>
      <c r="C437" s="29" t="s">
        <v>454</v>
      </c>
      <c r="D437" s="40" t="s">
        <v>346</v>
      </c>
      <c r="E437" s="70">
        <v>8</v>
      </c>
      <c r="F437" s="40"/>
      <c r="G437" s="87"/>
      <c r="H437" s="40"/>
      <c r="I437" s="40"/>
      <c r="J437" s="41" t="e">
        <f>+#REF!</f>
        <v>#REF!</v>
      </c>
      <c r="K437" s="76" t="e">
        <f>+J437*E437</f>
        <v>#REF!</v>
      </c>
      <c r="L437" s="84" t="e">
        <f>+J437*E437</f>
        <v>#REF!</v>
      </c>
      <c r="M437" s="245" t="s">
        <v>30</v>
      </c>
    </row>
    <row r="438" spans="1:13" ht="27.6">
      <c r="A438" s="303">
        <v>1120</v>
      </c>
      <c r="B438" s="216" t="s">
        <v>455</v>
      </c>
      <c r="C438" s="146" t="s">
        <v>456</v>
      </c>
      <c r="D438" s="207"/>
      <c r="E438" s="211"/>
      <c r="F438" s="222"/>
      <c r="G438" s="236"/>
      <c r="H438" s="239"/>
      <c r="I438" s="206">
        <f t="shared" ref="I438:I469" si="38">+F438*0.2</f>
        <v>0</v>
      </c>
      <c r="J438" s="84"/>
      <c r="K438" s="241"/>
      <c r="L438" s="219"/>
      <c r="M438" s="245" t="s">
        <v>20</v>
      </c>
    </row>
    <row r="439" spans="1:13" ht="27.6">
      <c r="A439" s="304">
        <v>1120</v>
      </c>
      <c r="B439" s="216" t="s">
        <v>455</v>
      </c>
      <c r="C439" s="6" t="s">
        <v>456</v>
      </c>
      <c r="D439" s="26"/>
      <c r="E439" s="209"/>
      <c r="F439" s="223"/>
      <c r="G439" s="2"/>
      <c r="H439" s="51">
        <f>+F439*0.15</f>
        <v>0</v>
      </c>
      <c r="I439" s="51">
        <f t="shared" si="38"/>
        <v>0</v>
      </c>
      <c r="J439" s="52"/>
      <c r="K439" s="52"/>
      <c r="L439" s="219"/>
      <c r="M439" s="245" t="s">
        <v>89</v>
      </c>
    </row>
    <row r="440" spans="1:13" ht="27.6">
      <c r="A440" s="303">
        <v>1120</v>
      </c>
      <c r="B440" s="216" t="s">
        <v>455</v>
      </c>
      <c r="C440" s="6" t="s">
        <v>456</v>
      </c>
      <c r="D440" s="26"/>
      <c r="E440" s="209"/>
      <c r="F440" s="235"/>
      <c r="G440" s="2"/>
      <c r="H440" s="51">
        <f>+F440*0.15</f>
        <v>0</v>
      </c>
      <c r="I440" s="51">
        <f t="shared" si="38"/>
        <v>0</v>
      </c>
      <c r="J440" s="84"/>
      <c r="K440" s="84"/>
      <c r="L440" s="219"/>
      <c r="M440" s="245" t="s">
        <v>23</v>
      </c>
    </row>
    <row r="441" spans="1:13" ht="27.6">
      <c r="A441" s="305">
        <v>1120</v>
      </c>
      <c r="B441" s="216" t="s">
        <v>455</v>
      </c>
      <c r="C441" s="6" t="s">
        <v>456</v>
      </c>
      <c r="D441" s="25"/>
      <c r="E441" s="66"/>
      <c r="F441" s="48"/>
      <c r="G441" s="9"/>
      <c r="H441" s="69"/>
      <c r="I441" s="69">
        <f t="shared" si="38"/>
        <v>0</v>
      </c>
      <c r="J441" s="67"/>
      <c r="K441" s="23"/>
      <c r="L441" s="54"/>
      <c r="M441" s="245" t="s">
        <v>30</v>
      </c>
    </row>
    <row r="442" spans="1:13" ht="27.6">
      <c r="A442" s="303">
        <v>1120</v>
      </c>
      <c r="B442" s="216" t="s">
        <v>455</v>
      </c>
      <c r="C442" s="6" t="s">
        <v>456</v>
      </c>
      <c r="D442" s="104"/>
      <c r="E442" s="209"/>
      <c r="F442" s="223"/>
      <c r="G442" s="2"/>
      <c r="H442" s="238"/>
      <c r="I442" s="51">
        <f t="shared" si="38"/>
        <v>0</v>
      </c>
      <c r="J442" s="52"/>
      <c r="K442" s="53"/>
      <c r="L442" s="52"/>
      <c r="M442" s="245" t="s">
        <v>93</v>
      </c>
    </row>
    <row r="443" spans="1:13" ht="27.6">
      <c r="A443" s="303">
        <v>1120</v>
      </c>
      <c r="B443" s="216" t="s">
        <v>455</v>
      </c>
      <c r="C443" s="6" t="s">
        <v>456</v>
      </c>
      <c r="D443" s="26"/>
      <c r="E443" s="209"/>
      <c r="F443" s="223"/>
      <c r="G443" s="2"/>
      <c r="H443" s="238"/>
      <c r="I443" s="51">
        <f t="shared" si="38"/>
        <v>0</v>
      </c>
      <c r="J443" s="52"/>
      <c r="K443" s="52"/>
      <c r="L443" s="219"/>
      <c r="M443" s="245" t="s">
        <v>87</v>
      </c>
    </row>
    <row r="444" spans="1:13" ht="27.6">
      <c r="A444" s="303">
        <v>1120</v>
      </c>
      <c r="B444" s="216" t="s">
        <v>455</v>
      </c>
      <c r="C444" s="6" t="s">
        <v>456</v>
      </c>
      <c r="D444" s="26"/>
      <c r="E444" s="209"/>
      <c r="F444" s="223"/>
      <c r="G444" s="2"/>
      <c r="H444" s="238"/>
      <c r="I444" s="51">
        <f t="shared" si="38"/>
        <v>0</v>
      </c>
      <c r="J444" s="128">
        <f>+(F444+H444+I444)/5300</f>
        <v>0</v>
      </c>
      <c r="K444" s="53"/>
      <c r="L444" s="52">
        <f>E444*J444</f>
        <v>0</v>
      </c>
      <c r="M444" s="245" t="s">
        <v>15</v>
      </c>
    </row>
    <row r="445" spans="1:13" ht="27.6">
      <c r="A445" s="305">
        <v>1120</v>
      </c>
      <c r="B445" s="216" t="s">
        <v>455</v>
      </c>
      <c r="C445" s="6" t="s">
        <v>456</v>
      </c>
      <c r="D445" s="25"/>
      <c r="E445" s="66"/>
      <c r="F445" s="48"/>
      <c r="G445" s="9"/>
      <c r="H445" s="51"/>
      <c r="I445" s="51">
        <f t="shared" si="38"/>
        <v>0</v>
      </c>
      <c r="J445" s="128"/>
      <c r="K445" s="53"/>
      <c r="L445" s="52"/>
      <c r="M445" s="245" t="s">
        <v>17</v>
      </c>
    </row>
    <row r="446" spans="1:13" ht="27.6">
      <c r="A446" s="305">
        <v>1120</v>
      </c>
      <c r="B446" s="216" t="s">
        <v>455</v>
      </c>
      <c r="C446" s="6" t="s">
        <v>456</v>
      </c>
      <c r="D446" s="25"/>
      <c r="E446" s="66"/>
      <c r="F446" s="48"/>
      <c r="G446" s="9"/>
      <c r="H446" s="51"/>
      <c r="I446" s="51">
        <f t="shared" si="38"/>
        <v>0</v>
      </c>
      <c r="J446" s="128"/>
      <c r="K446" s="53"/>
      <c r="L446" s="52"/>
      <c r="M446" s="245" t="s">
        <v>17</v>
      </c>
    </row>
    <row r="447" spans="1:13">
      <c r="A447" s="299">
        <v>1121</v>
      </c>
      <c r="B447" s="215" t="s">
        <v>457</v>
      </c>
      <c r="C447" s="207" t="s">
        <v>458</v>
      </c>
      <c r="D447" s="207" t="s">
        <v>67</v>
      </c>
      <c r="E447" s="227">
        <v>30</v>
      </c>
      <c r="F447" s="236">
        <v>10000</v>
      </c>
      <c r="G447" s="236">
        <f t="shared" ref="G447:G468" si="39">F447*E447</f>
        <v>300000</v>
      </c>
      <c r="H447" s="239">
        <f t="shared" ref="H447:H464" si="40">+F447*0.15</f>
        <v>1500</v>
      </c>
      <c r="I447" s="206">
        <f t="shared" si="38"/>
        <v>2000</v>
      </c>
      <c r="J447" s="84">
        <f>+(F447+H447+I447)/5300</f>
        <v>2.5471698113207548</v>
      </c>
      <c r="K447" s="241">
        <f>E447*J447</f>
        <v>76.415094339622641</v>
      </c>
      <c r="L447" s="219"/>
      <c r="M447" s="245" t="s">
        <v>20</v>
      </c>
    </row>
    <row r="448" spans="1:13">
      <c r="A448" s="301">
        <v>1121</v>
      </c>
      <c r="B448" s="215" t="s">
        <v>457</v>
      </c>
      <c r="C448" s="26" t="s">
        <v>458</v>
      </c>
      <c r="D448" s="26" t="s">
        <v>67</v>
      </c>
      <c r="E448" s="226">
        <v>30</v>
      </c>
      <c r="F448" s="223">
        <v>10000</v>
      </c>
      <c r="G448" s="2">
        <f t="shared" si="39"/>
        <v>300000</v>
      </c>
      <c r="H448" s="51">
        <f t="shared" si="40"/>
        <v>1500</v>
      </c>
      <c r="I448" s="51">
        <f t="shared" si="38"/>
        <v>2000</v>
      </c>
      <c r="J448" s="52">
        <f>+(I448+H448+F448)/5300</f>
        <v>2.5471698113207548</v>
      </c>
      <c r="K448" s="52">
        <f>+J448*E448</f>
        <v>76.415094339622641</v>
      </c>
      <c r="L448" s="219"/>
      <c r="M448" s="245" t="s">
        <v>89</v>
      </c>
    </row>
    <row r="449" spans="1:13">
      <c r="A449" s="299">
        <v>1121</v>
      </c>
      <c r="B449" s="215" t="s">
        <v>457</v>
      </c>
      <c r="C449" s="26" t="s">
        <v>458</v>
      </c>
      <c r="D449" s="26" t="s">
        <v>67</v>
      </c>
      <c r="E449" s="226">
        <v>30</v>
      </c>
      <c r="F449" s="235">
        <v>10000</v>
      </c>
      <c r="G449" s="2">
        <f t="shared" si="39"/>
        <v>300000</v>
      </c>
      <c r="H449" s="51">
        <f t="shared" si="40"/>
        <v>1500</v>
      </c>
      <c r="I449" s="51">
        <f t="shared" si="38"/>
        <v>2000</v>
      </c>
      <c r="J449" s="84">
        <f>+(I449+H449+F449)/5300</f>
        <v>2.5471698113207548</v>
      </c>
      <c r="K449" s="84">
        <f>J449*E449</f>
        <v>76.415094339622641</v>
      </c>
      <c r="L449" s="219"/>
      <c r="M449" s="245" t="s">
        <v>23</v>
      </c>
    </row>
    <row r="450" spans="1:13">
      <c r="A450" s="302">
        <v>1121</v>
      </c>
      <c r="B450" s="215" t="s">
        <v>457</v>
      </c>
      <c r="C450" s="26" t="s">
        <v>458</v>
      </c>
      <c r="D450" s="25" t="s">
        <v>67</v>
      </c>
      <c r="E450" s="49">
        <v>30</v>
      </c>
      <c r="F450" s="48">
        <v>10000</v>
      </c>
      <c r="G450" s="9">
        <f t="shared" si="39"/>
        <v>300000</v>
      </c>
      <c r="H450" s="69">
        <f t="shared" si="40"/>
        <v>1500</v>
      </c>
      <c r="I450" s="69">
        <f t="shared" si="38"/>
        <v>2000</v>
      </c>
      <c r="J450" s="68">
        <f>+(F450+H450+I450)/5300</f>
        <v>2.5471698113207548</v>
      </c>
      <c r="K450" s="25">
        <f t="shared" ref="K450:K455" si="41">+J450*E450</f>
        <v>76.415094339622641</v>
      </c>
      <c r="L450" s="54">
        <f>J450*E450</f>
        <v>76.415094339622641</v>
      </c>
      <c r="M450" s="245" t="s">
        <v>30</v>
      </c>
    </row>
    <row r="451" spans="1:13">
      <c r="A451" s="299">
        <v>1121</v>
      </c>
      <c r="B451" s="215" t="s">
        <v>457</v>
      </c>
      <c r="C451" s="26" t="s">
        <v>458</v>
      </c>
      <c r="D451" s="104" t="s">
        <v>67</v>
      </c>
      <c r="E451" s="226">
        <v>30</v>
      </c>
      <c r="F451" s="223">
        <v>10000</v>
      </c>
      <c r="G451" s="2">
        <f t="shared" si="39"/>
        <v>300000</v>
      </c>
      <c r="H451" s="238">
        <f t="shared" si="40"/>
        <v>1500</v>
      </c>
      <c r="I451" s="51">
        <f t="shared" si="38"/>
        <v>2000</v>
      </c>
      <c r="J451" s="52">
        <f>+(H451+I451+F451)/5300</f>
        <v>2.5471698113207548</v>
      </c>
      <c r="K451" s="53">
        <f t="shared" si="41"/>
        <v>76.415094339622641</v>
      </c>
      <c r="L451" s="52">
        <f>J451*E451</f>
        <v>76.415094339622641</v>
      </c>
      <c r="M451" s="245" t="s">
        <v>93</v>
      </c>
    </row>
    <row r="452" spans="1:13">
      <c r="A452" s="299">
        <v>1121</v>
      </c>
      <c r="B452" s="215" t="s">
        <v>457</v>
      </c>
      <c r="C452" s="26" t="s">
        <v>458</v>
      </c>
      <c r="D452" s="26" t="s">
        <v>67</v>
      </c>
      <c r="E452" s="226">
        <v>30</v>
      </c>
      <c r="F452" s="223">
        <v>10000</v>
      </c>
      <c r="G452" s="2">
        <f t="shared" si="39"/>
        <v>300000</v>
      </c>
      <c r="H452" s="238">
        <f t="shared" si="40"/>
        <v>1500</v>
      </c>
      <c r="I452" s="51">
        <f t="shared" si="38"/>
        <v>2000</v>
      </c>
      <c r="J452" s="52">
        <f>+(F452+H452+I452)/5300</f>
        <v>2.5471698113207548</v>
      </c>
      <c r="K452" s="52">
        <f t="shared" si="41"/>
        <v>76.415094339622641</v>
      </c>
      <c r="L452" s="219"/>
      <c r="M452" s="245" t="s">
        <v>87</v>
      </c>
    </row>
    <row r="453" spans="1:13">
      <c r="A453" s="299">
        <v>1121</v>
      </c>
      <c r="B453" s="215" t="s">
        <v>457</v>
      </c>
      <c r="C453" s="26" t="s">
        <v>458</v>
      </c>
      <c r="D453" s="26" t="s">
        <v>67</v>
      </c>
      <c r="E453" s="226">
        <v>30</v>
      </c>
      <c r="F453" s="223">
        <v>10000</v>
      </c>
      <c r="G453" s="2">
        <f t="shared" si="39"/>
        <v>300000</v>
      </c>
      <c r="H453" s="238">
        <f t="shared" si="40"/>
        <v>1500</v>
      </c>
      <c r="I453" s="51">
        <f t="shared" si="38"/>
        <v>2000</v>
      </c>
      <c r="J453" s="128">
        <f>+(F453+H453+I453)/5300</f>
        <v>2.5471698113207548</v>
      </c>
      <c r="K453" s="53">
        <f t="shared" si="41"/>
        <v>76.415094339622641</v>
      </c>
      <c r="L453" s="52">
        <f>E453*J453</f>
        <v>76.415094339622641</v>
      </c>
      <c r="M453" s="245" t="s">
        <v>15</v>
      </c>
    </row>
    <row r="454" spans="1:13">
      <c r="A454" s="302">
        <v>1121</v>
      </c>
      <c r="B454" s="215" t="s">
        <v>457</v>
      </c>
      <c r="C454" s="26" t="s">
        <v>458</v>
      </c>
      <c r="D454" s="25" t="s">
        <v>67</v>
      </c>
      <c r="E454" s="49">
        <v>30</v>
      </c>
      <c r="F454" s="48">
        <v>10000</v>
      </c>
      <c r="G454" s="9">
        <f t="shared" si="39"/>
        <v>300000</v>
      </c>
      <c r="H454" s="51">
        <f t="shared" si="40"/>
        <v>1500</v>
      </c>
      <c r="I454" s="51">
        <f t="shared" si="38"/>
        <v>2000</v>
      </c>
      <c r="J454" s="128">
        <f>+(F454+H454+I454)/5300</f>
        <v>2.5471698113207548</v>
      </c>
      <c r="K454" s="53">
        <f t="shared" si="41"/>
        <v>76.415094339622641</v>
      </c>
      <c r="L454" s="52">
        <f>J454*E454</f>
        <v>76.415094339622641</v>
      </c>
      <c r="M454" s="245" t="s">
        <v>17</v>
      </c>
    </row>
    <row r="455" spans="1:13">
      <c r="A455" s="302">
        <v>1121</v>
      </c>
      <c r="B455" s="215" t="s">
        <v>457</v>
      </c>
      <c r="C455" s="26" t="s">
        <v>458</v>
      </c>
      <c r="D455" s="25" t="s">
        <v>67</v>
      </c>
      <c r="E455" s="49">
        <v>60</v>
      </c>
      <c r="F455" s="48">
        <v>10000</v>
      </c>
      <c r="G455" s="9">
        <f t="shared" si="39"/>
        <v>600000</v>
      </c>
      <c r="H455" s="51">
        <f t="shared" si="40"/>
        <v>1500</v>
      </c>
      <c r="I455" s="51">
        <f t="shared" si="38"/>
        <v>2000</v>
      </c>
      <c r="J455" s="128">
        <f>+(F455+H455+I455)/5300</f>
        <v>2.5471698113207548</v>
      </c>
      <c r="K455" s="53">
        <f t="shared" si="41"/>
        <v>152.83018867924528</v>
      </c>
      <c r="L455" s="52">
        <f>J455*E455</f>
        <v>152.83018867924528</v>
      </c>
      <c r="M455" s="245" t="s">
        <v>17</v>
      </c>
    </row>
    <row r="456" spans="1:13">
      <c r="A456" s="299">
        <v>1122</v>
      </c>
      <c r="B456" s="215" t="s">
        <v>459</v>
      </c>
      <c r="C456" s="207" t="s">
        <v>460</v>
      </c>
      <c r="D456" s="207" t="s">
        <v>67</v>
      </c>
      <c r="E456" s="227">
        <v>24</v>
      </c>
      <c r="F456" s="236">
        <v>10000</v>
      </c>
      <c r="G456" s="236">
        <f t="shared" si="39"/>
        <v>240000</v>
      </c>
      <c r="H456" s="239">
        <f t="shared" si="40"/>
        <v>1500</v>
      </c>
      <c r="I456" s="206">
        <f t="shared" si="38"/>
        <v>2000</v>
      </c>
      <c r="J456" s="84">
        <f>+(F456+H456+I456)/5300</f>
        <v>2.5471698113207548</v>
      </c>
      <c r="K456" s="241">
        <f>E456*J456</f>
        <v>61.132075471698116</v>
      </c>
      <c r="L456" s="219"/>
      <c r="M456" s="245" t="s">
        <v>20</v>
      </c>
    </row>
    <row r="457" spans="1:13">
      <c r="A457" s="301">
        <v>1122</v>
      </c>
      <c r="B457" s="215" t="s">
        <v>459</v>
      </c>
      <c r="C457" s="26" t="s">
        <v>460</v>
      </c>
      <c r="D457" s="26" t="s">
        <v>67</v>
      </c>
      <c r="E457" s="226">
        <v>24</v>
      </c>
      <c r="F457" s="223">
        <v>10000</v>
      </c>
      <c r="G457" s="2">
        <f t="shared" si="39"/>
        <v>240000</v>
      </c>
      <c r="H457" s="51">
        <f t="shared" si="40"/>
        <v>1500</v>
      </c>
      <c r="I457" s="51">
        <f t="shared" si="38"/>
        <v>2000</v>
      </c>
      <c r="J457" s="52">
        <f>+(I457+H457+F457)/5300</f>
        <v>2.5471698113207548</v>
      </c>
      <c r="K457" s="52">
        <f>+J457*E457</f>
        <v>61.132075471698116</v>
      </c>
      <c r="L457" s="219"/>
      <c r="M457" s="245" t="s">
        <v>89</v>
      </c>
    </row>
    <row r="458" spans="1:13">
      <c r="A458" s="299">
        <v>1122</v>
      </c>
      <c r="B458" s="215" t="s">
        <v>459</v>
      </c>
      <c r="C458" s="26" t="s">
        <v>460</v>
      </c>
      <c r="D458" s="26" t="s">
        <v>67</v>
      </c>
      <c r="E458" s="226">
        <v>24</v>
      </c>
      <c r="F458" s="235">
        <v>10000</v>
      </c>
      <c r="G458" s="2">
        <f t="shared" si="39"/>
        <v>240000</v>
      </c>
      <c r="H458" s="51">
        <f t="shared" si="40"/>
        <v>1500</v>
      </c>
      <c r="I458" s="51">
        <f t="shared" si="38"/>
        <v>2000</v>
      </c>
      <c r="J458" s="84">
        <f>+(I458+H458+F458)/5300</f>
        <v>2.5471698113207548</v>
      </c>
      <c r="K458" s="84">
        <f>J458*E458</f>
        <v>61.132075471698116</v>
      </c>
      <c r="L458" s="219"/>
      <c r="M458" s="245" t="s">
        <v>23</v>
      </c>
    </row>
    <row r="459" spans="1:13">
      <c r="A459" s="302">
        <v>1122</v>
      </c>
      <c r="B459" s="215" t="s">
        <v>459</v>
      </c>
      <c r="C459" s="26" t="s">
        <v>460</v>
      </c>
      <c r="D459" s="25" t="s">
        <v>67</v>
      </c>
      <c r="E459" s="49">
        <v>24</v>
      </c>
      <c r="F459" s="48">
        <v>10000</v>
      </c>
      <c r="G459" s="9">
        <f t="shared" si="39"/>
        <v>240000</v>
      </c>
      <c r="H459" s="69">
        <f t="shared" si="40"/>
        <v>1500</v>
      </c>
      <c r="I459" s="69">
        <f t="shared" si="38"/>
        <v>2000</v>
      </c>
      <c r="J459" s="68">
        <f>+(F459+H459+I459)/5300</f>
        <v>2.5471698113207548</v>
      </c>
      <c r="K459" s="25">
        <f t="shared" ref="K459:K464" si="42">+J459*E459</f>
        <v>61.132075471698116</v>
      </c>
      <c r="L459" s="54">
        <f>J459*E459</f>
        <v>61.132075471698116</v>
      </c>
      <c r="M459" s="245" t="s">
        <v>30</v>
      </c>
    </row>
    <row r="460" spans="1:13">
      <c r="A460" s="299">
        <v>1122</v>
      </c>
      <c r="B460" s="215" t="s">
        <v>459</v>
      </c>
      <c r="C460" s="26" t="s">
        <v>460</v>
      </c>
      <c r="D460" s="104" t="s">
        <v>67</v>
      </c>
      <c r="E460" s="226">
        <v>24</v>
      </c>
      <c r="F460" s="223">
        <v>10000</v>
      </c>
      <c r="G460" s="2">
        <f t="shared" si="39"/>
        <v>240000</v>
      </c>
      <c r="H460" s="238">
        <f t="shared" si="40"/>
        <v>1500</v>
      </c>
      <c r="I460" s="51">
        <f t="shared" si="38"/>
        <v>2000</v>
      </c>
      <c r="J460" s="52">
        <f>+(H460+I460+F460)/5300</f>
        <v>2.5471698113207548</v>
      </c>
      <c r="K460" s="53">
        <f t="shared" si="42"/>
        <v>61.132075471698116</v>
      </c>
      <c r="L460" s="52">
        <f>J460*E460</f>
        <v>61.132075471698116</v>
      </c>
      <c r="M460" s="245" t="s">
        <v>93</v>
      </c>
    </row>
    <row r="461" spans="1:13">
      <c r="A461" s="299">
        <v>1122</v>
      </c>
      <c r="B461" s="215" t="s">
        <v>459</v>
      </c>
      <c r="C461" s="26" t="s">
        <v>460</v>
      </c>
      <c r="D461" s="26" t="s">
        <v>67</v>
      </c>
      <c r="E461" s="226">
        <v>24</v>
      </c>
      <c r="F461" s="223">
        <v>10000</v>
      </c>
      <c r="G461" s="2">
        <f t="shared" si="39"/>
        <v>240000</v>
      </c>
      <c r="H461" s="238">
        <f t="shared" si="40"/>
        <v>1500</v>
      </c>
      <c r="I461" s="51">
        <f t="shared" si="38"/>
        <v>2000</v>
      </c>
      <c r="J461" s="52">
        <f>+(F461+H461+I461)/5300</f>
        <v>2.5471698113207548</v>
      </c>
      <c r="K461" s="52">
        <f t="shared" si="42"/>
        <v>61.132075471698116</v>
      </c>
      <c r="L461" s="219"/>
      <c r="M461" s="245" t="s">
        <v>87</v>
      </c>
    </row>
    <row r="462" spans="1:13">
      <c r="A462" s="299">
        <v>1122</v>
      </c>
      <c r="B462" s="215" t="s">
        <v>459</v>
      </c>
      <c r="C462" s="26" t="s">
        <v>460</v>
      </c>
      <c r="D462" s="26" t="s">
        <v>67</v>
      </c>
      <c r="E462" s="226">
        <v>24</v>
      </c>
      <c r="F462" s="223">
        <v>10000</v>
      </c>
      <c r="G462" s="2">
        <f t="shared" si="39"/>
        <v>240000</v>
      </c>
      <c r="H462" s="238">
        <f t="shared" si="40"/>
        <v>1500</v>
      </c>
      <c r="I462" s="51">
        <f t="shared" si="38"/>
        <v>2000</v>
      </c>
      <c r="J462" s="128">
        <f>+(F462+H462+I462)/5300</f>
        <v>2.5471698113207548</v>
      </c>
      <c r="K462" s="53">
        <f t="shared" si="42"/>
        <v>61.132075471698116</v>
      </c>
      <c r="L462" s="52">
        <f>E462*J462</f>
        <v>61.132075471698116</v>
      </c>
      <c r="M462" s="245" t="s">
        <v>15</v>
      </c>
    </row>
    <row r="463" spans="1:13">
      <c r="A463" s="302">
        <v>1122</v>
      </c>
      <c r="B463" s="215" t="s">
        <v>459</v>
      </c>
      <c r="C463" s="26" t="s">
        <v>460</v>
      </c>
      <c r="D463" s="25" t="s">
        <v>67</v>
      </c>
      <c r="E463" s="49">
        <v>24</v>
      </c>
      <c r="F463" s="48">
        <v>10000</v>
      </c>
      <c r="G463" s="9">
        <f t="shared" si="39"/>
        <v>240000</v>
      </c>
      <c r="H463" s="51">
        <f t="shared" si="40"/>
        <v>1500</v>
      </c>
      <c r="I463" s="51">
        <f t="shared" si="38"/>
        <v>2000</v>
      </c>
      <c r="J463" s="128">
        <f>+(F463+H463+I463)/5300</f>
        <v>2.5471698113207548</v>
      </c>
      <c r="K463" s="53">
        <f t="shared" si="42"/>
        <v>61.132075471698116</v>
      </c>
      <c r="L463" s="52">
        <f>J463*E463</f>
        <v>61.132075471698116</v>
      </c>
      <c r="M463" s="245" t="s">
        <v>17</v>
      </c>
    </row>
    <row r="464" spans="1:13">
      <c r="A464" s="302">
        <v>1122</v>
      </c>
      <c r="B464" s="215" t="s">
        <v>459</v>
      </c>
      <c r="C464" s="26" t="s">
        <v>460</v>
      </c>
      <c r="D464" s="25" t="s">
        <v>67</v>
      </c>
      <c r="E464" s="49">
        <v>48</v>
      </c>
      <c r="F464" s="48">
        <v>10000</v>
      </c>
      <c r="G464" s="9">
        <f t="shared" si="39"/>
        <v>480000</v>
      </c>
      <c r="H464" s="51">
        <f t="shared" si="40"/>
        <v>1500</v>
      </c>
      <c r="I464" s="51">
        <f t="shared" si="38"/>
        <v>2000</v>
      </c>
      <c r="J464" s="128">
        <f>+(F464+H464+I464)/5300</f>
        <v>2.5471698113207548</v>
      </c>
      <c r="K464" s="53">
        <f t="shared" si="42"/>
        <v>122.26415094339623</v>
      </c>
      <c r="L464" s="52">
        <f>J464*E464</f>
        <v>122.26415094339623</v>
      </c>
      <c r="M464" s="245" t="s">
        <v>17</v>
      </c>
    </row>
    <row r="465" spans="1:13">
      <c r="A465" s="280" t="s">
        <v>461</v>
      </c>
      <c r="B465" s="13" t="s">
        <v>462</v>
      </c>
      <c r="C465" s="146" t="s">
        <v>463</v>
      </c>
      <c r="D465" s="222"/>
      <c r="E465" s="227"/>
      <c r="F465" s="222"/>
      <c r="G465" s="236">
        <f t="shared" si="39"/>
        <v>0</v>
      </c>
      <c r="H465" s="239"/>
      <c r="I465" s="206">
        <f t="shared" si="38"/>
        <v>0</v>
      </c>
      <c r="J465" s="84"/>
      <c r="K465" s="241"/>
      <c r="L465" s="219"/>
      <c r="M465" s="245" t="s">
        <v>20</v>
      </c>
    </row>
    <row r="466" spans="1:13">
      <c r="A466" s="281" t="s">
        <v>461</v>
      </c>
      <c r="B466" s="13" t="s">
        <v>462</v>
      </c>
      <c r="C466" s="6" t="s">
        <v>463</v>
      </c>
      <c r="D466" s="223"/>
      <c r="E466" s="226"/>
      <c r="F466" s="223"/>
      <c r="G466" s="2">
        <f t="shared" si="39"/>
        <v>0</v>
      </c>
      <c r="H466" s="51">
        <f>+F466*0.15</f>
        <v>0</v>
      </c>
      <c r="I466" s="51">
        <f t="shared" si="38"/>
        <v>0</v>
      </c>
      <c r="J466" s="52"/>
      <c r="K466" s="52"/>
      <c r="L466" s="219"/>
      <c r="M466" s="245" t="s">
        <v>89</v>
      </c>
    </row>
    <row r="467" spans="1:13">
      <c r="A467" s="280" t="s">
        <v>461</v>
      </c>
      <c r="B467" s="13" t="s">
        <v>462</v>
      </c>
      <c r="C467" s="6" t="s">
        <v>463</v>
      </c>
      <c r="D467" s="223"/>
      <c r="E467" s="226"/>
      <c r="F467" s="235"/>
      <c r="G467" s="2">
        <f t="shared" si="39"/>
        <v>0</v>
      </c>
      <c r="H467" s="51">
        <f>+F467*0.15</f>
        <v>0</v>
      </c>
      <c r="I467" s="51">
        <f t="shared" si="38"/>
        <v>0</v>
      </c>
      <c r="J467" s="84"/>
      <c r="K467" s="84"/>
      <c r="L467" s="219"/>
      <c r="M467" s="245" t="s">
        <v>23</v>
      </c>
    </row>
    <row r="468" spans="1:13">
      <c r="A468" s="151" t="s">
        <v>461</v>
      </c>
      <c r="B468" s="13" t="s">
        <v>462</v>
      </c>
      <c r="C468" s="6" t="s">
        <v>463</v>
      </c>
      <c r="D468" s="48"/>
      <c r="E468" s="49"/>
      <c r="F468" s="48"/>
      <c r="G468" s="9">
        <f t="shared" si="39"/>
        <v>0</v>
      </c>
      <c r="H468" s="69"/>
      <c r="I468" s="69">
        <f t="shared" si="38"/>
        <v>0</v>
      </c>
      <c r="J468" s="67"/>
      <c r="K468" s="23"/>
      <c r="L468" s="54"/>
      <c r="M468" s="245" t="s">
        <v>30</v>
      </c>
    </row>
    <row r="469" spans="1:13">
      <c r="A469" s="280" t="s">
        <v>461</v>
      </c>
      <c r="B469" s="13" t="s">
        <v>462</v>
      </c>
      <c r="C469" s="6" t="s">
        <v>463</v>
      </c>
      <c r="D469" s="104"/>
      <c r="E469" s="226"/>
      <c r="F469" s="223"/>
      <c r="G469" s="2"/>
      <c r="H469" s="238"/>
      <c r="I469" s="51">
        <f t="shared" si="38"/>
        <v>0</v>
      </c>
      <c r="J469" s="52"/>
      <c r="K469" s="53"/>
      <c r="L469" s="52"/>
      <c r="M469" s="245" t="s">
        <v>93</v>
      </c>
    </row>
    <row r="470" spans="1:13">
      <c r="A470" s="280" t="s">
        <v>461</v>
      </c>
      <c r="B470" s="13" t="s">
        <v>462</v>
      </c>
      <c r="C470" s="6" t="s">
        <v>463</v>
      </c>
      <c r="D470" s="223"/>
      <c r="E470" s="226"/>
      <c r="F470" s="223"/>
      <c r="G470" s="2">
        <f>F470*E470</f>
        <v>0</v>
      </c>
      <c r="H470" s="238">
        <f>+F470*0.15</f>
        <v>0</v>
      </c>
      <c r="I470" s="51">
        <f t="shared" ref="I470:I501" si="43">+F470*0.2</f>
        <v>0</v>
      </c>
      <c r="J470" s="52"/>
      <c r="K470" s="52"/>
      <c r="L470" s="219"/>
      <c r="M470" s="245" t="s">
        <v>87</v>
      </c>
    </row>
    <row r="471" spans="1:13">
      <c r="A471" s="280" t="s">
        <v>461</v>
      </c>
      <c r="B471" s="13" t="s">
        <v>462</v>
      </c>
      <c r="C471" s="6" t="s">
        <v>463</v>
      </c>
      <c r="D471" s="223"/>
      <c r="E471" s="226"/>
      <c r="F471" s="223"/>
      <c r="G471" s="2">
        <f>F471*E471</f>
        <v>0</v>
      </c>
      <c r="H471" s="238"/>
      <c r="I471" s="51">
        <f t="shared" si="43"/>
        <v>0</v>
      </c>
      <c r="J471" s="128"/>
      <c r="K471" s="53"/>
      <c r="L471" s="52"/>
      <c r="M471" s="245" t="s">
        <v>15</v>
      </c>
    </row>
    <row r="472" spans="1:13">
      <c r="A472" s="151" t="s">
        <v>461</v>
      </c>
      <c r="B472" s="13" t="s">
        <v>462</v>
      </c>
      <c r="C472" s="6" t="s">
        <v>463</v>
      </c>
      <c r="D472" s="48"/>
      <c r="E472" s="49"/>
      <c r="F472" s="48"/>
      <c r="G472" s="9"/>
      <c r="H472" s="51"/>
      <c r="I472" s="51">
        <f t="shared" si="43"/>
        <v>0</v>
      </c>
      <c r="J472" s="128"/>
      <c r="K472" s="53"/>
      <c r="L472" s="52"/>
      <c r="M472" s="245" t="s">
        <v>17</v>
      </c>
    </row>
    <row r="473" spans="1:13">
      <c r="A473" s="151" t="s">
        <v>461</v>
      </c>
      <c r="B473" s="13" t="s">
        <v>462</v>
      </c>
      <c r="C473" s="6" t="s">
        <v>463</v>
      </c>
      <c r="D473" s="48"/>
      <c r="E473" s="49"/>
      <c r="F473" s="48"/>
      <c r="G473" s="9">
        <f t="shared" ref="G473:G483" si="44">F473*E473</f>
        <v>0</v>
      </c>
      <c r="H473" s="51"/>
      <c r="I473" s="51">
        <f t="shared" si="43"/>
        <v>0</v>
      </c>
      <c r="J473" s="128"/>
      <c r="K473" s="53"/>
      <c r="L473" s="52"/>
      <c r="M473" s="245" t="s">
        <v>17</v>
      </c>
    </row>
    <row r="474" spans="1:13">
      <c r="A474" s="299">
        <v>1112</v>
      </c>
      <c r="B474" s="12" t="s">
        <v>464</v>
      </c>
      <c r="C474" s="207" t="s">
        <v>465</v>
      </c>
      <c r="D474" s="207" t="s">
        <v>67</v>
      </c>
      <c r="E474" s="230">
        <v>55</v>
      </c>
      <c r="F474" s="236">
        <v>2500</v>
      </c>
      <c r="G474" s="236">
        <f t="shared" si="44"/>
        <v>137500</v>
      </c>
      <c r="H474" s="239">
        <f t="shared" ref="H474:H480" si="45">+F474*0.15</f>
        <v>375</v>
      </c>
      <c r="I474" s="206">
        <f t="shared" si="43"/>
        <v>500</v>
      </c>
      <c r="J474" s="243">
        <v>0.64</v>
      </c>
      <c r="K474" s="241">
        <f>E474*J474</f>
        <v>35.200000000000003</v>
      </c>
      <c r="L474" s="219"/>
      <c r="M474" s="245" t="s">
        <v>20</v>
      </c>
    </row>
    <row r="475" spans="1:13">
      <c r="A475" s="299">
        <v>1112</v>
      </c>
      <c r="B475" s="12" t="s">
        <v>464</v>
      </c>
      <c r="C475" s="207" t="s">
        <v>465</v>
      </c>
      <c r="D475" s="223" t="s">
        <v>67</v>
      </c>
      <c r="E475" s="228">
        <v>11</v>
      </c>
      <c r="F475" s="223">
        <v>2500</v>
      </c>
      <c r="G475" s="2">
        <f t="shared" si="44"/>
        <v>27500</v>
      </c>
      <c r="H475" s="238">
        <f t="shared" si="45"/>
        <v>375</v>
      </c>
      <c r="I475" s="51">
        <f t="shared" si="43"/>
        <v>500</v>
      </c>
      <c r="J475" s="52">
        <v>0.64</v>
      </c>
      <c r="K475" s="52">
        <f>+J475*E475</f>
        <v>7.04</v>
      </c>
      <c r="L475" s="219"/>
      <c r="M475" s="245" t="s">
        <v>87</v>
      </c>
    </row>
    <row r="476" spans="1:13">
      <c r="A476" s="299">
        <v>1111</v>
      </c>
      <c r="B476" s="12" t="s">
        <v>466</v>
      </c>
      <c r="C476" s="207" t="s">
        <v>467</v>
      </c>
      <c r="D476" s="207" t="s">
        <v>67</v>
      </c>
      <c r="E476" s="230">
        <v>248</v>
      </c>
      <c r="F476" s="236">
        <v>2500</v>
      </c>
      <c r="G476" s="236">
        <f t="shared" si="44"/>
        <v>620000</v>
      </c>
      <c r="H476" s="239">
        <f t="shared" si="45"/>
        <v>375</v>
      </c>
      <c r="I476" s="206">
        <f t="shared" si="43"/>
        <v>500</v>
      </c>
      <c r="J476" s="243">
        <f>+(F476+H476+I476)/5300</f>
        <v>0.6367924528301887</v>
      </c>
      <c r="K476" s="241">
        <f>E476*J476</f>
        <v>157.9245283018868</v>
      </c>
      <c r="L476" s="219"/>
      <c r="M476" s="245" t="s">
        <v>20</v>
      </c>
    </row>
    <row r="477" spans="1:13">
      <c r="A477" s="301">
        <v>1111</v>
      </c>
      <c r="B477" s="12" t="s">
        <v>466</v>
      </c>
      <c r="C477" s="26" t="s">
        <v>468</v>
      </c>
      <c r="D477" s="26" t="s">
        <v>67</v>
      </c>
      <c r="E477" s="228">
        <v>132</v>
      </c>
      <c r="F477" s="223">
        <v>2500</v>
      </c>
      <c r="G477" s="2">
        <f t="shared" si="44"/>
        <v>330000</v>
      </c>
      <c r="H477" s="51">
        <f t="shared" si="45"/>
        <v>375</v>
      </c>
      <c r="I477" s="51">
        <f t="shared" si="43"/>
        <v>500</v>
      </c>
      <c r="J477" s="52">
        <f>+(I477+H477+F477)/5300</f>
        <v>0.6367924528301887</v>
      </c>
      <c r="K477" s="52">
        <f>+J477*E477</f>
        <v>84.056603773584911</v>
      </c>
      <c r="L477" s="219"/>
      <c r="M477" s="245" t="s">
        <v>89</v>
      </c>
    </row>
    <row r="478" spans="1:13">
      <c r="A478" s="302">
        <v>1111</v>
      </c>
      <c r="B478" s="12" t="s">
        <v>466</v>
      </c>
      <c r="C478" s="26" t="s">
        <v>468</v>
      </c>
      <c r="D478" s="25" t="s">
        <v>67</v>
      </c>
      <c r="E478" s="64">
        <v>82</v>
      </c>
      <c r="F478" s="48">
        <v>7000</v>
      </c>
      <c r="G478" s="9">
        <f t="shared" si="44"/>
        <v>574000</v>
      </c>
      <c r="H478" s="69">
        <f t="shared" si="45"/>
        <v>1050</v>
      </c>
      <c r="I478" s="69">
        <f t="shared" si="43"/>
        <v>1400</v>
      </c>
      <c r="J478" s="68">
        <f>+(F478+H478+I478)/5300</f>
        <v>1.7830188679245282</v>
      </c>
      <c r="K478" s="25">
        <f>+J478*E478</f>
        <v>146.20754716981131</v>
      </c>
      <c r="L478" s="54">
        <f>J478*E478</f>
        <v>146.20754716981131</v>
      </c>
      <c r="M478" s="245" t="s">
        <v>30</v>
      </c>
    </row>
    <row r="479" spans="1:13">
      <c r="A479" s="299">
        <v>1111</v>
      </c>
      <c r="B479" s="12" t="s">
        <v>466</v>
      </c>
      <c r="C479" s="207" t="s">
        <v>467</v>
      </c>
      <c r="D479" s="26" t="s">
        <v>67</v>
      </c>
      <c r="E479" s="228">
        <v>162</v>
      </c>
      <c r="F479" s="223">
        <v>2500</v>
      </c>
      <c r="G479" s="2">
        <f t="shared" si="44"/>
        <v>405000</v>
      </c>
      <c r="H479" s="238">
        <f t="shared" si="45"/>
        <v>375</v>
      </c>
      <c r="I479" s="51">
        <f t="shared" si="43"/>
        <v>500</v>
      </c>
      <c r="J479" s="242">
        <f>+(F479+H479+I479)/5300</f>
        <v>0.6367924528301887</v>
      </c>
      <c r="K479" s="53">
        <f>+J479*E479</f>
        <v>103.16037735849056</v>
      </c>
      <c r="L479" s="52">
        <f>E479*J479</f>
        <v>103.16037735849056</v>
      </c>
      <c r="M479" s="245" t="s">
        <v>15</v>
      </c>
    </row>
    <row r="480" spans="1:13">
      <c r="A480" s="281" t="s">
        <v>469</v>
      </c>
      <c r="B480" s="154" t="s">
        <v>470</v>
      </c>
      <c r="C480" s="6" t="s">
        <v>471</v>
      </c>
      <c r="D480" s="223"/>
      <c r="E480" s="226"/>
      <c r="F480" s="223"/>
      <c r="G480" s="2">
        <f t="shared" si="44"/>
        <v>0</v>
      </c>
      <c r="H480" s="51">
        <f t="shared" si="45"/>
        <v>0</v>
      </c>
      <c r="I480" s="51">
        <f t="shared" si="43"/>
        <v>0</v>
      </c>
      <c r="J480" s="52"/>
      <c r="K480" s="52"/>
      <c r="L480" s="219"/>
      <c r="M480" s="245" t="s">
        <v>89</v>
      </c>
    </row>
    <row r="481" spans="1:13">
      <c r="A481" s="151" t="s">
        <v>469</v>
      </c>
      <c r="B481" s="154" t="s">
        <v>470</v>
      </c>
      <c r="C481" s="6" t="s">
        <v>472</v>
      </c>
      <c r="D481" s="48"/>
      <c r="E481" s="49"/>
      <c r="F481" s="48"/>
      <c r="G481" s="9">
        <f t="shared" si="44"/>
        <v>0</v>
      </c>
      <c r="H481" s="69"/>
      <c r="I481" s="69">
        <f t="shared" si="43"/>
        <v>0</v>
      </c>
      <c r="J481" s="67"/>
      <c r="K481" s="23"/>
      <c r="L481" s="54"/>
      <c r="M481" s="245" t="s">
        <v>30</v>
      </c>
    </row>
    <row r="482" spans="1:13">
      <c r="A482" s="280" t="s">
        <v>469</v>
      </c>
      <c r="B482" s="154" t="s">
        <v>470</v>
      </c>
      <c r="C482" s="146" t="s">
        <v>473</v>
      </c>
      <c r="D482" s="222"/>
      <c r="E482" s="227"/>
      <c r="F482" s="222"/>
      <c r="G482" s="236">
        <f t="shared" si="44"/>
        <v>0</v>
      </c>
      <c r="H482" s="239"/>
      <c r="I482" s="206">
        <f t="shared" si="43"/>
        <v>0</v>
      </c>
      <c r="J482" s="84"/>
      <c r="K482" s="241"/>
      <c r="L482" s="219"/>
      <c r="M482" s="245" t="s">
        <v>20</v>
      </c>
    </row>
    <row r="483" spans="1:13">
      <c r="A483" s="280" t="s">
        <v>469</v>
      </c>
      <c r="B483" s="154" t="s">
        <v>470</v>
      </c>
      <c r="C483" s="6" t="s">
        <v>473</v>
      </c>
      <c r="D483" s="223"/>
      <c r="E483" s="226"/>
      <c r="F483" s="235"/>
      <c r="G483" s="2">
        <f t="shared" si="44"/>
        <v>0</v>
      </c>
      <c r="H483" s="51">
        <f>+F483*0.15</f>
        <v>0</v>
      </c>
      <c r="I483" s="51">
        <f t="shared" si="43"/>
        <v>0</v>
      </c>
      <c r="J483" s="84"/>
      <c r="K483" s="84"/>
      <c r="L483" s="219"/>
      <c r="M483" s="245" t="s">
        <v>23</v>
      </c>
    </row>
    <row r="484" spans="1:13">
      <c r="A484" s="280" t="s">
        <v>469</v>
      </c>
      <c r="B484" s="154" t="s">
        <v>470</v>
      </c>
      <c r="C484" s="6" t="s">
        <v>473</v>
      </c>
      <c r="D484" s="104"/>
      <c r="E484" s="226"/>
      <c r="F484" s="223"/>
      <c r="G484" s="2"/>
      <c r="H484" s="238"/>
      <c r="I484" s="51">
        <f t="shared" si="43"/>
        <v>0</v>
      </c>
      <c r="J484" s="52"/>
      <c r="K484" s="53"/>
      <c r="L484" s="52"/>
      <c r="M484" s="245" t="s">
        <v>93</v>
      </c>
    </row>
    <row r="485" spans="1:13">
      <c r="A485" s="280" t="s">
        <v>469</v>
      </c>
      <c r="B485" s="154" t="s">
        <v>470</v>
      </c>
      <c r="C485" s="6" t="s">
        <v>473</v>
      </c>
      <c r="D485" s="223"/>
      <c r="E485" s="226"/>
      <c r="F485" s="223"/>
      <c r="G485" s="2">
        <f>F485*E485</f>
        <v>0</v>
      </c>
      <c r="H485" s="238">
        <f>+F485*0.15</f>
        <v>0</v>
      </c>
      <c r="I485" s="51">
        <f t="shared" si="43"/>
        <v>0</v>
      </c>
      <c r="J485" s="52"/>
      <c r="K485" s="52"/>
      <c r="L485" s="219"/>
      <c r="M485" s="245" t="s">
        <v>87</v>
      </c>
    </row>
    <row r="486" spans="1:13">
      <c r="A486" s="280" t="s">
        <v>469</v>
      </c>
      <c r="B486" s="154" t="s">
        <v>470</v>
      </c>
      <c r="C486" s="6" t="s">
        <v>473</v>
      </c>
      <c r="D486" s="223"/>
      <c r="E486" s="226"/>
      <c r="F486" s="223"/>
      <c r="G486" s="2">
        <f>F486*E486</f>
        <v>0</v>
      </c>
      <c r="H486" s="238"/>
      <c r="I486" s="51">
        <f t="shared" si="43"/>
        <v>0</v>
      </c>
      <c r="J486" s="128"/>
      <c r="K486" s="53"/>
      <c r="L486" s="52"/>
      <c r="M486" s="245" t="s">
        <v>15</v>
      </c>
    </row>
    <row r="487" spans="1:13">
      <c r="A487" s="151" t="s">
        <v>469</v>
      </c>
      <c r="B487" s="154" t="s">
        <v>470</v>
      </c>
      <c r="C487" s="6" t="s">
        <v>473</v>
      </c>
      <c r="D487" s="48"/>
      <c r="E487" s="49"/>
      <c r="F487" s="48"/>
      <c r="G487" s="9"/>
      <c r="H487" s="51"/>
      <c r="I487" s="51">
        <f t="shared" si="43"/>
        <v>0</v>
      </c>
      <c r="J487" s="128"/>
      <c r="K487" s="53"/>
      <c r="L487" s="52"/>
      <c r="M487" s="245" t="s">
        <v>17</v>
      </c>
    </row>
    <row r="488" spans="1:13">
      <c r="A488" s="151" t="s">
        <v>469</v>
      </c>
      <c r="B488" s="154" t="s">
        <v>470</v>
      </c>
      <c r="C488" s="6" t="s">
        <v>473</v>
      </c>
      <c r="D488" s="48"/>
      <c r="E488" s="49"/>
      <c r="F488" s="48"/>
      <c r="G488" s="9">
        <f t="shared" ref="G488:G494" si="46">F488*E488</f>
        <v>0</v>
      </c>
      <c r="H488" s="51"/>
      <c r="I488" s="51">
        <f t="shared" si="43"/>
        <v>0</v>
      </c>
      <c r="J488" s="128"/>
      <c r="K488" s="53"/>
      <c r="L488" s="52"/>
      <c r="M488" s="245" t="s">
        <v>17</v>
      </c>
    </row>
    <row r="489" spans="1:13">
      <c r="A489" s="94" t="s">
        <v>474</v>
      </c>
      <c r="B489" s="12" t="s">
        <v>475</v>
      </c>
      <c r="C489" s="26" t="s">
        <v>465</v>
      </c>
      <c r="D489" s="26" t="s">
        <v>67</v>
      </c>
      <c r="E489" s="228">
        <v>3</v>
      </c>
      <c r="F489" s="235">
        <v>2500</v>
      </c>
      <c r="G489" s="2">
        <f t="shared" si="46"/>
        <v>7500</v>
      </c>
      <c r="H489" s="51">
        <f>+F489*0.15</f>
        <v>375</v>
      </c>
      <c r="I489" s="51">
        <f t="shared" si="43"/>
        <v>500</v>
      </c>
      <c r="J489" s="84">
        <f>+(I489+H489+F489)/5300</f>
        <v>0.6367924528301887</v>
      </c>
      <c r="K489" s="84">
        <f>J489*E489</f>
        <v>1.9103773584905661</v>
      </c>
      <c r="L489" s="219"/>
      <c r="M489" s="245" t="s">
        <v>23</v>
      </c>
    </row>
    <row r="490" spans="1:13">
      <c r="A490" s="299">
        <v>1111</v>
      </c>
      <c r="B490" s="12" t="s">
        <v>476</v>
      </c>
      <c r="C490" s="26" t="s">
        <v>477</v>
      </c>
      <c r="D490" s="104" t="s">
        <v>67</v>
      </c>
      <c r="E490" s="228">
        <v>35</v>
      </c>
      <c r="F490" s="223">
        <v>2500</v>
      </c>
      <c r="G490" s="2">
        <f t="shared" si="46"/>
        <v>87500</v>
      </c>
      <c r="H490" s="238">
        <f>+F490*0.15</f>
        <v>375</v>
      </c>
      <c r="I490" s="51">
        <f t="shared" si="43"/>
        <v>500</v>
      </c>
      <c r="J490" s="52">
        <f>+(H490+I490+F490)/5300</f>
        <v>0.6367924528301887</v>
      </c>
      <c r="K490" s="53">
        <f>+J490*E490</f>
        <v>22.287735849056606</v>
      </c>
      <c r="L490" s="52">
        <f>J490*E490</f>
        <v>22.287735849056606</v>
      </c>
      <c r="M490" s="245" t="s">
        <v>93</v>
      </c>
    </row>
    <row r="491" spans="1:13">
      <c r="A491" s="299">
        <v>1111</v>
      </c>
      <c r="B491" s="12" t="s">
        <v>476</v>
      </c>
      <c r="C491" s="207" t="s">
        <v>467</v>
      </c>
      <c r="D491" s="223" t="s">
        <v>67</v>
      </c>
      <c r="E491" s="228">
        <v>112</v>
      </c>
      <c r="F491" s="223">
        <v>2500</v>
      </c>
      <c r="G491" s="2">
        <f t="shared" si="46"/>
        <v>280000</v>
      </c>
      <c r="H491" s="238">
        <f>+F491*0.15</f>
        <v>375</v>
      </c>
      <c r="I491" s="51">
        <f t="shared" si="43"/>
        <v>500</v>
      </c>
      <c r="J491" s="52">
        <f>+(F491+H491+I491)/5300</f>
        <v>0.6367924528301887</v>
      </c>
      <c r="K491" s="52">
        <f>+J491*E491</f>
        <v>71.320754716981128</v>
      </c>
      <c r="L491" s="219"/>
      <c r="M491" s="245" t="s">
        <v>87</v>
      </c>
    </row>
    <row r="492" spans="1:13">
      <c r="A492" s="94" t="s">
        <v>478</v>
      </c>
      <c r="B492" s="12" t="s">
        <v>476</v>
      </c>
      <c r="C492" s="26" t="s">
        <v>468</v>
      </c>
      <c r="D492" s="26" t="s">
        <v>67</v>
      </c>
      <c r="E492" s="228">
        <v>355</v>
      </c>
      <c r="F492" s="235">
        <v>2500</v>
      </c>
      <c r="G492" s="237">
        <f t="shared" si="46"/>
        <v>887500</v>
      </c>
      <c r="H492" s="51"/>
      <c r="I492" s="51">
        <f t="shared" si="43"/>
        <v>500</v>
      </c>
      <c r="J492" s="84">
        <f>+(I492+H492+F492)/5300</f>
        <v>0.56603773584905659</v>
      </c>
      <c r="K492" s="84">
        <f>J492*E492</f>
        <v>200.94339622641508</v>
      </c>
      <c r="L492" s="219"/>
      <c r="M492" s="245" t="s">
        <v>23</v>
      </c>
    </row>
    <row r="493" spans="1:13">
      <c r="A493" s="302">
        <v>1111</v>
      </c>
      <c r="B493" s="12" t="s">
        <v>479</v>
      </c>
      <c r="C493" s="26" t="s">
        <v>480</v>
      </c>
      <c r="D493" s="48" t="s">
        <v>67</v>
      </c>
      <c r="E493" s="49">
        <v>24</v>
      </c>
      <c r="F493" s="48">
        <v>2500</v>
      </c>
      <c r="G493" s="9">
        <f t="shared" si="46"/>
        <v>60000</v>
      </c>
      <c r="H493" s="51">
        <f>+F493*0.15</f>
        <v>375</v>
      </c>
      <c r="I493" s="51">
        <f t="shared" si="43"/>
        <v>500</v>
      </c>
      <c r="J493" s="128">
        <f>+(F493+H493+I493)/5300</f>
        <v>0.6367924528301887</v>
      </c>
      <c r="K493" s="53">
        <f>+J493*E493</f>
        <v>15.283018867924529</v>
      </c>
      <c r="L493" s="52">
        <f>J493*E493</f>
        <v>15.283018867924529</v>
      </c>
      <c r="M493" s="245" t="s">
        <v>17</v>
      </c>
    </row>
    <row r="494" spans="1:13">
      <c r="A494" s="302">
        <v>1111</v>
      </c>
      <c r="B494" s="12" t="s">
        <v>479</v>
      </c>
      <c r="C494" s="26" t="s">
        <v>480</v>
      </c>
      <c r="D494" s="48" t="s">
        <v>67</v>
      </c>
      <c r="E494" s="49">
        <v>48</v>
      </c>
      <c r="F494" s="48">
        <v>2500</v>
      </c>
      <c r="G494" s="9">
        <f t="shared" si="46"/>
        <v>120000</v>
      </c>
      <c r="H494" s="51">
        <f>+F494*0.15</f>
        <v>375</v>
      </c>
      <c r="I494" s="51">
        <f t="shared" si="43"/>
        <v>500</v>
      </c>
      <c r="J494" s="128">
        <f>+(F494+H494+I494)/5300</f>
        <v>0.6367924528301887</v>
      </c>
      <c r="K494" s="53">
        <f>+J494*E494</f>
        <v>30.566037735849058</v>
      </c>
      <c r="L494" s="52">
        <f>J494*E494</f>
        <v>30.566037735849058</v>
      </c>
      <c r="M494" s="245" t="s">
        <v>17</v>
      </c>
    </row>
    <row r="495" spans="1:13">
      <c r="A495" s="280" t="s">
        <v>481</v>
      </c>
      <c r="B495" s="13" t="s">
        <v>482</v>
      </c>
      <c r="C495" s="221" t="s">
        <v>483</v>
      </c>
      <c r="D495" s="207"/>
      <c r="E495" s="211"/>
      <c r="F495" s="207"/>
      <c r="G495" s="236"/>
      <c r="H495" s="239"/>
      <c r="I495" s="206">
        <f t="shared" si="43"/>
        <v>0</v>
      </c>
      <c r="J495" s="84"/>
      <c r="K495" s="241"/>
      <c r="L495" s="219"/>
      <c r="M495" s="245" t="s">
        <v>20</v>
      </c>
    </row>
    <row r="496" spans="1:13">
      <c r="A496" s="281" t="s">
        <v>481</v>
      </c>
      <c r="B496" s="13" t="s">
        <v>482</v>
      </c>
      <c r="C496" s="72" t="s">
        <v>483</v>
      </c>
      <c r="D496" s="26"/>
      <c r="E496" s="209"/>
      <c r="F496" s="26"/>
      <c r="G496" s="2"/>
      <c r="H496" s="51">
        <f>+F496*0.15</f>
        <v>0</v>
      </c>
      <c r="I496" s="51">
        <f t="shared" si="43"/>
        <v>0</v>
      </c>
      <c r="J496" s="52"/>
      <c r="K496" s="52"/>
      <c r="L496" s="219"/>
      <c r="M496" s="245" t="s">
        <v>89</v>
      </c>
    </row>
    <row r="497" spans="1:13">
      <c r="A497" s="280" t="s">
        <v>481</v>
      </c>
      <c r="B497" s="13" t="s">
        <v>482</v>
      </c>
      <c r="C497" s="72" t="s">
        <v>483</v>
      </c>
      <c r="D497" s="26"/>
      <c r="E497" s="209"/>
      <c r="F497" s="208"/>
      <c r="G497" s="2"/>
      <c r="H497" s="51">
        <f>+F497*0.15</f>
        <v>0</v>
      </c>
      <c r="I497" s="51">
        <f t="shared" si="43"/>
        <v>0</v>
      </c>
      <c r="J497" s="84"/>
      <c r="K497" s="84"/>
      <c r="L497" s="219"/>
      <c r="M497" s="245" t="s">
        <v>23</v>
      </c>
    </row>
    <row r="498" spans="1:13">
      <c r="A498" s="151" t="s">
        <v>481</v>
      </c>
      <c r="B498" s="13" t="s">
        <v>482</v>
      </c>
      <c r="C498" s="72" t="s">
        <v>483</v>
      </c>
      <c r="D498" s="32"/>
      <c r="E498" s="42"/>
      <c r="F498" s="32"/>
      <c r="G498" s="9"/>
      <c r="H498" s="69"/>
      <c r="I498" s="69">
        <f t="shared" si="43"/>
        <v>0</v>
      </c>
      <c r="J498" s="54"/>
      <c r="K498" s="73"/>
      <c r="L498" s="54"/>
      <c r="M498" s="245" t="s">
        <v>30</v>
      </c>
    </row>
    <row r="499" spans="1:13">
      <c r="A499" s="280" t="s">
        <v>481</v>
      </c>
      <c r="B499" s="13" t="s">
        <v>482</v>
      </c>
      <c r="C499" s="72" t="s">
        <v>483</v>
      </c>
      <c r="D499" s="104"/>
      <c r="E499" s="209"/>
      <c r="F499" s="26"/>
      <c r="G499" s="2"/>
      <c r="H499" s="238"/>
      <c r="I499" s="51">
        <f t="shared" si="43"/>
        <v>0</v>
      </c>
      <c r="J499" s="52">
        <f>+(H499+I499+F499)/5300</f>
        <v>0</v>
      </c>
      <c r="K499" s="53"/>
      <c r="L499" s="52">
        <f>J499*E499</f>
        <v>0</v>
      </c>
      <c r="M499" s="245" t="s">
        <v>93</v>
      </c>
    </row>
    <row r="500" spans="1:13">
      <c r="A500" s="280" t="s">
        <v>481</v>
      </c>
      <c r="B500" s="13" t="s">
        <v>482</v>
      </c>
      <c r="C500" s="72" t="s">
        <v>483</v>
      </c>
      <c r="D500" s="26"/>
      <c r="E500" s="209"/>
      <c r="F500" s="26"/>
      <c r="G500" s="2"/>
      <c r="H500" s="238"/>
      <c r="I500" s="51">
        <f t="shared" si="43"/>
        <v>0</v>
      </c>
      <c r="J500" s="52"/>
      <c r="K500" s="52"/>
      <c r="L500" s="219"/>
      <c r="M500" s="245" t="s">
        <v>87</v>
      </c>
    </row>
    <row r="501" spans="1:13">
      <c r="A501" s="280" t="s">
        <v>481</v>
      </c>
      <c r="B501" s="13" t="s">
        <v>482</v>
      </c>
      <c r="C501" s="72" t="s">
        <v>483</v>
      </c>
      <c r="D501" s="26"/>
      <c r="E501" s="209"/>
      <c r="F501" s="26"/>
      <c r="G501" s="2"/>
      <c r="H501" s="238"/>
      <c r="I501" s="51">
        <f t="shared" si="43"/>
        <v>0</v>
      </c>
      <c r="J501" s="128">
        <f>+(F501+H501+I501)/5300</f>
        <v>0</v>
      </c>
      <c r="K501" s="53"/>
      <c r="L501" s="52">
        <f>E501*J501</f>
        <v>0</v>
      </c>
      <c r="M501" s="245" t="s">
        <v>15</v>
      </c>
    </row>
    <row r="502" spans="1:13">
      <c r="A502" s="151" t="s">
        <v>481</v>
      </c>
      <c r="B502" s="13" t="s">
        <v>482</v>
      </c>
      <c r="C502" s="72" t="s">
        <v>483</v>
      </c>
      <c r="D502" s="25"/>
      <c r="E502" s="66"/>
      <c r="F502" s="25"/>
      <c r="G502" s="9"/>
      <c r="H502" s="51"/>
      <c r="I502" s="51">
        <f t="shared" ref="I502:I533" si="47">+F502*0.2</f>
        <v>0</v>
      </c>
      <c r="J502" s="128">
        <f>+(F502+H502+I502)/5300</f>
        <v>0</v>
      </c>
      <c r="K502" s="53"/>
      <c r="L502" s="52">
        <f>J502*E502</f>
        <v>0</v>
      </c>
      <c r="M502" s="245" t="s">
        <v>17</v>
      </c>
    </row>
    <row r="503" spans="1:13">
      <c r="A503" s="151" t="s">
        <v>481</v>
      </c>
      <c r="B503" s="13" t="s">
        <v>482</v>
      </c>
      <c r="C503" s="72" t="s">
        <v>483</v>
      </c>
      <c r="D503" s="25"/>
      <c r="E503" s="66"/>
      <c r="F503" s="25"/>
      <c r="G503" s="9"/>
      <c r="H503" s="51"/>
      <c r="I503" s="51">
        <f t="shared" si="47"/>
        <v>0</v>
      </c>
      <c r="J503" s="128"/>
      <c r="K503" s="53"/>
      <c r="L503" s="52"/>
      <c r="M503" s="245" t="s">
        <v>17</v>
      </c>
    </row>
    <row r="504" spans="1:13">
      <c r="A504" s="299">
        <v>1302</v>
      </c>
      <c r="B504" s="215" t="s">
        <v>484</v>
      </c>
      <c r="C504" s="207" t="s">
        <v>485</v>
      </c>
      <c r="D504" s="207" t="s">
        <v>3</v>
      </c>
      <c r="E504" s="227">
        <v>1</v>
      </c>
      <c r="F504" s="236">
        <v>10000</v>
      </c>
      <c r="G504" s="236">
        <f t="shared" ref="G504:G539" si="48">F504*E504</f>
        <v>10000</v>
      </c>
      <c r="H504" s="239">
        <f t="shared" ref="H504:H539" si="49">+F504*0.15</f>
        <v>1500</v>
      </c>
      <c r="I504" s="206">
        <f t="shared" si="47"/>
        <v>2000</v>
      </c>
      <c r="J504" s="84">
        <f>+(F504+H504+I504)/5300</f>
        <v>2.5471698113207548</v>
      </c>
      <c r="K504" s="241">
        <f>E504*J504</f>
        <v>2.5471698113207548</v>
      </c>
      <c r="L504" s="219"/>
      <c r="M504" s="245" t="s">
        <v>20</v>
      </c>
    </row>
    <row r="505" spans="1:13">
      <c r="A505" s="301">
        <v>1302</v>
      </c>
      <c r="B505" s="215" t="s">
        <v>484</v>
      </c>
      <c r="C505" s="26" t="s">
        <v>485</v>
      </c>
      <c r="D505" s="26" t="s">
        <v>3</v>
      </c>
      <c r="E505" s="226">
        <v>1</v>
      </c>
      <c r="F505" s="223">
        <v>10000</v>
      </c>
      <c r="G505" s="2">
        <f t="shared" si="48"/>
        <v>10000</v>
      </c>
      <c r="H505" s="51">
        <f t="shared" si="49"/>
        <v>1500</v>
      </c>
      <c r="I505" s="51">
        <f t="shared" si="47"/>
        <v>2000</v>
      </c>
      <c r="J505" s="52">
        <f>+(I505+H505+F505)/5300</f>
        <v>2.5471698113207548</v>
      </c>
      <c r="K505" s="52">
        <f>+J505*E505</f>
        <v>2.5471698113207548</v>
      </c>
      <c r="L505" s="219"/>
      <c r="M505" s="245" t="s">
        <v>89</v>
      </c>
    </row>
    <row r="506" spans="1:13">
      <c r="A506" s="299">
        <v>1302</v>
      </c>
      <c r="B506" s="215" t="s">
        <v>484</v>
      </c>
      <c r="C506" s="26" t="s">
        <v>485</v>
      </c>
      <c r="D506" s="26" t="s">
        <v>3</v>
      </c>
      <c r="E506" s="226">
        <v>4</v>
      </c>
      <c r="F506" s="235">
        <v>10000</v>
      </c>
      <c r="G506" s="2">
        <f t="shared" si="48"/>
        <v>40000</v>
      </c>
      <c r="H506" s="51">
        <f t="shared" si="49"/>
        <v>1500</v>
      </c>
      <c r="I506" s="51">
        <f t="shared" si="47"/>
        <v>2000</v>
      </c>
      <c r="J506" s="84">
        <f>+(I506+H506+F506)/5300</f>
        <v>2.5471698113207548</v>
      </c>
      <c r="K506" s="84">
        <f>J506*E506</f>
        <v>10.188679245283019</v>
      </c>
      <c r="L506" s="219"/>
      <c r="M506" s="245" t="s">
        <v>23</v>
      </c>
    </row>
    <row r="507" spans="1:13">
      <c r="A507" s="302">
        <v>1302</v>
      </c>
      <c r="B507" s="215" t="s">
        <v>484</v>
      </c>
      <c r="C507" s="26" t="s">
        <v>485</v>
      </c>
      <c r="D507" s="25" t="s">
        <v>3</v>
      </c>
      <c r="E507" s="49">
        <v>1</v>
      </c>
      <c r="F507" s="48">
        <v>80000</v>
      </c>
      <c r="G507" s="9">
        <f t="shared" si="48"/>
        <v>80000</v>
      </c>
      <c r="H507" s="69">
        <f t="shared" si="49"/>
        <v>12000</v>
      </c>
      <c r="I507" s="69">
        <f t="shared" si="47"/>
        <v>16000</v>
      </c>
      <c r="J507" s="54">
        <f>+(F507+H507+I507)/5300</f>
        <v>20.377358490566039</v>
      </c>
      <c r="K507" s="73">
        <f t="shared" ref="K507:K512" si="50">+J507*E507</f>
        <v>20.377358490566039</v>
      </c>
      <c r="L507" s="54">
        <f>J507*E507</f>
        <v>20.377358490566039</v>
      </c>
      <c r="M507" s="245" t="s">
        <v>30</v>
      </c>
    </row>
    <row r="508" spans="1:13">
      <c r="A508" s="299">
        <v>1302</v>
      </c>
      <c r="B508" s="215" t="s">
        <v>484</v>
      </c>
      <c r="C508" s="26" t="s">
        <v>485</v>
      </c>
      <c r="D508" s="104" t="s">
        <v>3</v>
      </c>
      <c r="E508" s="226">
        <v>1</v>
      </c>
      <c r="F508" s="223">
        <v>10000</v>
      </c>
      <c r="G508" s="2">
        <f t="shared" si="48"/>
        <v>10000</v>
      </c>
      <c r="H508" s="238">
        <f t="shared" si="49"/>
        <v>1500</v>
      </c>
      <c r="I508" s="51">
        <f t="shared" si="47"/>
        <v>2000</v>
      </c>
      <c r="J508" s="52">
        <f>+(H508+I508+F508)/5300</f>
        <v>2.5471698113207548</v>
      </c>
      <c r="K508" s="53">
        <f t="shared" si="50"/>
        <v>2.5471698113207548</v>
      </c>
      <c r="L508" s="52">
        <f>J508*E508</f>
        <v>2.5471698113207548</v>
      </c>
      <c r="M508" s="245" t="s">
        <v>93</v>
      </c>
    </row>
    <row r="509" spans="1:13">
      <c r="A509" s="299">
        <v>1302</v>
      </c>
      <c r="B509" s="215" t="s">
        <v>484</v>
      </c>
      <c r="C509" s="26" t="s">
        <v>485</v>
      </c>
      <c r="D509" s="26" t="s">
        <v>3</v>
      </c>
      <c r="E509" s="226">
        <v>1</v>
      </c>
      <c r="F509" s="223">
        <v>10000</v>
      </c>
      <c r="G509" s="2">
        <f t="shared" si="48"/>
        <v>10000</v>
      </c>
      <c r="H509" s="238">
        <f t="shared" si="49"/>
        <v>1500</v>
      </c>
      <c r="I509" s="51">
        <f t="shared" si="47"/>
        <v>2000</v>
      </c>
      <c r="J509" s="52">
        <f>+(F509+H509+I509)/5300</f>
        <v>2.5471698113207548</v>
      </c>
      <c r="K509" s="52">
        <f t="shared" si="50"/>
        <v>2.5471698113207548</v>
      </c>
      <c r="L509" s="219"/>
      <c r="M509" s="245" t="s">
        <v>87</v>
      </c>
    </row>
    <row r="510" spans="1:13">
      <c r="A510" s="299">
        <v>1302</v>
      </c>
      <c r="B510" s="215" t="s">
        <v>484</v>
      </c>
      <c r="C510" s="26" t="s">
        <v>485</v>
      </c>
      <c r="D510" s="26" t="s">
        <v>3</v>
      </c>
      <c r="E510" s="226">
        <v>1</v>
      </c>
      <c r="F510" s="223">
        <v>10000</v>
      </c>
      <c r="G510" s="2">
        <f t="shared" si="48"/>
        <v>10000</v>
      </c>
      <c r="H510" s="238">
        <f t="shared" si="49"/>
        <v>1500</v>
      </c>
      <c r="I510" s="51">
        <f t="shared" si="47"/>
        <v>2000</v>
      </c>
      <c r="J510" s="128">
        <f>+(F510+H510+I510)/5300</f>
        <v>2.5471698113207548</v>
      </c>
      <c r="K510" s="53">
        <f t="shared" si="50"/>
        <v>2.5471698113207548</v>
      </c>
      <c r="L510" s="52">
        <f>E510*J510</f>
        <v>2.5471698113207548</v>
      </c>
      <c r="M510" s="245" t="s">
        <v>15</v>
      </c>
    </row>
    <row r="511" spans="1:13">
      <c r="A511" s="302">
        <v>1302</v>
      </c>
      <c r="B511" s="215" t="s">
        <v>484</v>
      </c>
      <c r="C511" s="26" t="s">
        <v>485</v>
      </c>
      <c r="D511" s="25" t="s">
        <v>3</v>
      </c>
      <c r="E511" s="49">
        <v>1</v>
      </c>
      <c r="F511" s="48">
        <v>80000</v>
      </c>
      <c r="G511" s="9">
        <f t="shared" si="48"/>
        <v>80000</v>
      </c>
      <c r="H511" s="51">
        <f t="shared" si="49"/>
        <v>12000</v>
      </c>
      <c r="I511" s="51">
        <f t="shared" si="47"/>
        <v>16000</v>
      </c>
      <c r="J511" s="128">
        <f>+(F511+H511+I511)/5300</f>
        <v>20.377358490566039</v>
      </c>
      <c r="K511" s="53">
        <f t="shared" si="50"/>
        <v>20.377358490566039</v>
      </c>
      <c r="L511" s="52">
        <f>J511*E511</f>
        <v>20.377358490566039</v>
      </c>
      <c r="M511" s="245" t="s">
        <v>17</v>
      </c>
    </row>
    <row r="512" spans="1:13">
      <c r="A512" s="302">
        <v>1302</v>
      </c>
      <c r="B512" s="215" t="s">
        <v>484</v>
      </c>
      <c r="C512" s="26" t="s">
        <v>485</v>
      </c>
      <c r="D512" s="25" t="s">
        <v>3</v>
      </c>
      <c r="E512" s="49">
        <v>2</v>
      </c>
      <c r="F512" s="48">
        <v>10000</v>
      </c>
      <c r="G512" s="9">
        <f t="shared" si="48"/>
        <v>20000</v>
      </c>
      <c r="H512" s="51">
        <f t="shared" si="49"/>
        <v>1500</v>
      </c>
      <c r="I512" s="51">
        <f t="shared" si="47"/>
        <v>2000</v>
      </c>
      <c r="J512" s="128">
        <f>+(F512+H512+I512)/5300</f>
        <v>2.5471698113207548</v>
      </c>
      <c r="K512" s="53">
        <f t="shared" si="50"/>
        <v>5.0943396226415096</v>
      </c>
      <c r="L512" s="52">
        <f>J512*E512</f>
        <v>5.0943396226415096</v>
      </c>
      <c r="M512" s="245" t="s">
        <v>17</v>
      </c>
    </row>
    <row r="513" spans="1:13">
      <c r="A513" s="94" t="s">
        <v>486</v>
      </c>
      <c r="B513" s="215" t="s">
        <v>487</v>
      </c>
      <c r="C513" s="207" t="s">
        <v>488</v>
      </c>
      <c r="D513" s="207" t="s">
        <v>3</v>
      </c>
      <c r="E513" s="227">
        <v>1</v>
      </c>
      <c r="F513" s="236">
        <v>8000</v>
      </c>
      <c r="G513" s="236">
        <f t="shared" si="48"/>
        <v>8000</v>
      </c>
      <c r="H513" s="239">
        <f t="shared" si="49"/>
        <v>1200</v>
      </c>
      <c r="I513" s="206">
        <f t="shared" si="47"/>
        <v>1600</v>
      </c>
      <c r="J513" s="84">
        <f>+(F513+H513+I513)/5300</f>
        <v>2.0377358490566038</v>
      </c>
      <c r="K513" s="241">
        <f>E513*J513</f>
        <v>2.0377358490566038</v>
      </c>
      <c r="L513" s="219"/>
      <c r="M513" s="245" t="s">
        <v>20</v>
      </c>
    </row>
    <row r="514" spans="1:13">
      <c r="A514" s="1" t="s">
        <v>486</v>
      </c>
      <c r="B514" s="215" t="s">
        <v>487</v>
      </c>
      <c r="C514" s="26" t="s">
        <v>488</v>
      </c>
      <c r="D514" s="26" t="s">
        <v>3</v>
      </c>
      <c r="E514" s="226">
        <v>1</v>
      </c>
      <c r="F514" s="223">
        <v>8000</v>
      </c>
      <c r="G514" s="2">
        <f t="shared" si="48"/>
        <v>8000</v>
      </c>
      <c r="H514" s="51">
        <f t="shared" si="49"/>
        <v>1200</v>
      </c>
      <c r="I514" s="51">
        <f t="shared" si="47"/>
        <v>1600</v>
      </c>
      <c r="J514" s="52">
        <f>+(I514+H514+F514)/5300</f>
        <v>2.0377358490566038</v>
      </c>
      <c r="K514" s="52">
        <f>+J514*E514</f>
        <v>2.0377358490566038</v>
      </c>
      <c r="L514" s="219"/>
      <c r="M514" s="245" t="s">
        <v>89</v>
      </c>
    </row>
    <row r="515" spans="1:13">
      <c r="A515" s="94" t="s">
        <v>486</v>
      </c>
      <c r="B515" s="215" t="s">
        <v>487</v>
      </c>
      <c r="C515" s="26" t="s">
        <v>488</v>
      </c>
      <c r="D515" s="26" t="s">
        <v>3</v>
      </c>
      <c r="E515" s="226">
        <v>1</v>
      </c>
      <c r="F515" s="235">
        <v>8000</v>
      </c>
      <c r="G515" s="2">
        <f t="shared" si="48"/>
        <v>8000</v>
      </c>
      <c r="H515" s="51">
        <f t="shared" si="49"/>
        <v>1200</v>
      </c>
      <c r="I515" s="51">
        <f t="shared" si="47"/>
        <v>1600</v>
      </c>
      <c r="J515" s="84">
        <f>+(I515+H515+F515)/5300</f>
        <v>2.0377358490566038</v>
      </c>
      <c r="K515" s="84">
        <f>J515*E515</f>
        <v>2.0377358490566038</v>
      </c>
      <c r="L515" s="219"/>
      <c r="M515" s="245" t="s">
        <v>23</v>
      </c>
    </row>
    <row r="516" spans="1:13">
      <c r="A516" s="218" t="s">
        <v>486</v>
      </c>
      <c r="B516" s="215" t="s">
        <v>487</v>
      </c>
      <c r="C516" s="26" t="s">
        <v>488</v>
      </c>
      <c r="D516" s="25" t="s">
        <v>3</v>
      </c>
      <c r="E516" s="49">
        <v>1</v>
      </c>
      <c r="F516" s="48">
        <v>80000</v>
      </c>
      <c r="G516" s="9">
        <f t="shared" si="48"/>
        <v>80000</v>
      </c>
      <c r="H516" s="69">
        <f t="shared" si="49"/>
        <v>12000</v>
      </c>
      <c r="I516" s="69">
        <f t="shared" si="47"/>
        <v>16000</v>
      </c>
      <c r="J516" s="54">
        <f>+(F516+H516+I516)/5300</f>
        <v>20.377358490566039</v>
      </c>
      <c r="K516" s="73">
        <f t="shared" ref="K516:K521" si="51">+J516*E516</f>
        <v>20.377358490566039</v>
      </c>
      <c r="L516" s="54">
        <f>J516*E516</f>
        <v>20.377358490566039</v>
      </c>
      <c r="M516" s="245" t="s">
        <v>30</v>
      </c>
    </row>
    <row r="517" spans="1:13">
      <c r="A517" s="94" t="s">
        <v>486</v>
      </c>
      <c r="B517" s="215" t="s">
        <v>487</v>
      </c>
      <c r="C517" s="26" t="s">
        <v>488</v>
      </c>
      <c r="D517" s="104" t="s">
        <v>3</v>
      </c>
      <c r="E517" s="226">
        <v>1</v>
      </c>
      <c r="F517" s="223">
        <v>8000</v>
      </c>
      <c r="G517" s="2">
        <f t="shared" si="48"/>
        <v>8000</v>
      </c>
      <c r="H517" s="238">
        <f t="shared" si="49"/>
        <v>1200</v>
      </c>
      <c r="I517" s="51">
        <f t="shared" si="47"/>
        <v>1600</v>
      </c>
      <c r="J517" s="52">
        <f>+(H517+I517+F517)/5300</f>
        <v>2.0377358490566038</v>
      </c>
      <c r="K517" s="53">
        <f t="shared" si="51"/>
        <v>2.0377358490566038</v>
      </c>
      <c r="L517" s="52">
        <f>J517*E517</f>
        <v>2.0377358490566038</v>
      </c>
      <c r="M517" s="245" t="s">
        <v>93</v>
      </c>
    </row>
    <row r="518" spans="1:13">
      <c r="A518" s="94" t="s">
        <v>486</v>
      </c>
      <c r="B518" s="215" t="s">
        <v>487</v>
      </c>
      <c r="C518" s="26" t="s">
        <v>488</v>
      </c>
      <c r="D518" s="26" t="s">
        <v>3</v>
      </c>
      <c r="E518" s="226">
        <v>1</v>
      </c>
      <c r="F518" s="223">
        <v>8000</v>
      </c>
      <c r="G518" s="2">
        <f t="shared" si="48"/>
        <v>8000</v>
      </c>
      <c r="H518" s="238">
        <f t="shared" si="49"/>
        <v>1200</v>
      </c>
      <c r="I518" s="51">
        <f t="shared" si="47"/>
        <v>1600</v>
      </c>
      <c r="J518" s="52">
        <f>+(F518+H518+I518)/5300</f>
        <v>2.0377358490566038</v>
      </c>
      <c r="K518" s="52">
        <f t="shared" si="51"/>
        <v>2.0377358490566038</v>
      </c>
      <c r="L518" s="219"/>
      <c r="M518" s="245" t="s">
        <v>87</v>
      </c>
    </row>
    <row r="519" spans="1:13">
      <c r="A519" s="94" t="s">
        <v>486</v>
      </c>
      <c r="B519" s="215" t="s">
        <v>487</v>
      </c>
      <c r="C519" s="26" t="s">
        <v>488</v>
      </c>
      <c r="D519" s="26" t="s">
        <v>3</v>
      </c>
      <c r="E519" s="226">
        <v>1</v>
      </c>
      <c r="F519" s="223">
        <v>8000</v>
      </c>
      <c r="G519" s="2">
        <f t="shared" si="48"/>
        <v>8000</v>
      </c>
      <c r="H519" s="238">
        <f t="shared" si="49"/>
        <v>1200</v>
      </c>
      <c r="I519" s="51">
        <f t="shared" si="47"/>
        <v>1600</v>
      </c>
      <c r="J519" s="128">
        <f>+(F519+H519+I519)/5300</f>
        <v>2.0377358490566038</v>
      </c>
      <c r="K519" s="53">
        <f t="shared" si="51"/>
        <v>2.0377358490566038</v>
      </c>
      <c r="L519" s="52">
        <f>E519*J519</f>
        <v>2.0377358490566038</v>
      </c>
      <c r="M519" s="245" t="s">
        <v>15</v>
      </c>
    </row>
    <row r="520" spans="1:13">
      <c r="A520" s="218" t="s">
        <v>486</v>
      </c>
      <c r="B520" s="215" t="s">
        <v>487</v>
      </c>
      <c r="C520" s="26" t="s">
        <v>488</v>
      </c>
      <c r="D520" s="25" t="s">
        <v>3</v>
      </c>
      <c r="E520" s="49">
        <v>1</v>
      </c>
      <c r="F520" s="48">
        <v>80000</v>
      </c>
      <c r="G520" s="9">
        <f t="shared" si="48"/>
        <v>80000</v>
      </c>
      <c r="H520" s="51">
        <f t="shared" si="49"/>
        <v>12000</v>
      </c>
      <c r="I520" s="51">
        <f t="shared" si="47"/>
        <v>16000</v>
      </c>
      <c r="J520" s="128">
        <f>+(F520+H520+I520)/5300</f>
        <v>20.377358490566039</v>
      </c>
      <c r="K520" s="53">
        <f t="shared" si="51"/>
        <v>20.377358490566039</v>
      </c>
      <c r="L520" s="52">
        <f>J520*E520</f>
        <v>20.377358490566039</v>
      </c>
      <c r="M520" s="245" t="s">
        <v>17</v>
      </c>
    </row>
    <row r="521" spans="1:13">
      <c r="A521" s="218" t="s">
        <v>486</v>
      </c>
      <c r="B521" s="215" t="s">
        <v>487</v>
      </c>
      <c r="C521" s="26" t="s">
        <v>488</v>
      </c>
      <c r="D521" s="25" t="s">
        <v>3</v>
      </c>
      <c r="E521" s="49">
        <v>2</v>
      </c>
      <c r="F521" s="48">
        <v>8000</v>
      </c>
      <c r="G521" s="9">
        <f t="shared" si="48"/>
        <v>16000</v>
      </c>
      <c r="H521" s="51">
        <f t="shared" si="49"/>
        <v>1200</v>
      </c>
      <c r="I521" s="51">
        <f t="shared" si="47"/>
        <v>1600</v>
      </c>
      <c r="J521" s="128">
        <f>+(F521+H521+I521)/5300</f>
        <v>2.0377358490566038</v>
      </c>
      <c r="K521" s="53">
        <f t="shared" si="51"/>
        <v>4.0754716981132075</v>
      </c>
      <c r="L521" s="52">
        <f>J521*E521</f>
        <v>4.0754716981132075</v>
      </c>
      <c r="M521" s="245" t="s">
        <v>17</v>
      </c>
    </row>
    <row r="522" spans="1:13">
      <c r="A522" s="94" t="s">
        <v>489</v>
      </c>
      <c r="B522" s="215" t="s">
        <v>490</v>
      </c>
      <c r="C522" s="207" t="s">
        <v>491</v>
      </c>
      <c r="D522" s="207" t="s">
        <v>3</v>
      </c>
      <c r="E522" s="227">
        <v>4</v>
      </c>
      <c r="F522" s="236">
        <v>70000</v>
      </c>
      <c r="G522" s="236">
        <f t="shared" si="48"/>
        <v>280000</v>
      </c>
      <c r="H522" s="239">
        <f t="shared" si="49"/>
        <v>10500</v>
      </c>
      <c r="I522" s="206">
        <f t="shared" si="47"/>
        <v>14000</v>
      </c>
      <c r="J522" s="84">
        <f>+(F522+H522+I522)/5300</f>
        <v>17.830188679245282</v>
      </c>
      <c r="K522" s="241">
        <f>E522*J522</f>
        <v>71.320754716981128</v>
      </c>
      <c r="L522" s="219"/>
      <c r="M522" s="245" t="s">
        <v>20</v>
      </c>
    </row>
    <row r="523" spans="1:13">
      <c r="A523" s="1" t="s">
        <v>489</v>
      </c>
      <c r="B523" s="215" t="s">
        <v>490</v>
      </c>
      <c r="C523" s="26" t="s">
        <v>491</v>
      </c>
      <c r="D523" s="26" t="s">
        <v>3</v>
      </c>
      <c r="E523" s="226">
        <v>2</v>
      </c>
      <c r="F523" s="223">
        <v>70000</v>
      </c>
      <c r="G523" s="2">
        <f t="shared" si="48"/>
        <v>140000</v>
      </c>
      <c r="H523" s="51">
        <f t="shared" si="49"/>
        <v>10500</v>
      </c>
      <c r="I523" s="51">
        <f t="shared" si="47"/>
        <v>14000</v>
      </c>
      <c r="J523" s="52">
        <f>+(I523+H523+F523)/5300</f>
        <v>17.830188679245282</v>
      </c>
      <c r="K523" s="52">
        <f>+J523*E523</f>
        <v>35.660377358490564</v>
      </c>
      <c r="L523" s="219"/>
      <c r="M523" s="245" t="s">
        <v>89</v>
      </c>
    </row>
    <row r="524" spans="1:13">
      <c r="A524" s="94" t="s">
        <v>489</v>
      </c>
      <c r="B524" s="215" t="s">
        <v>490</v>
      </c>
      <c r="C524" s="26" t="s">
        <v>491</v>
      </c>
      <c r="D524" s="26" t="s">
        <v>3</v>
      </c>
      <c r="E524" s="226">
        <v>1</v>
      </c>
      <c r="F524" s="235">
        <v>160000</v>
      </c>
      <c r="G524" s="2">
        <f t="shared" si="48"/>
        <v>160000</v>
      </c>
      <c r="H524" s="51">
        <f t="shared" si="49"/>
        <v>24000</v>
      </c>
      <c r="I524" s="51">
        <f t="shared" si="47"/>
        <v>32000</v>
      </c>
      <c r="J524" s="84">
        <f>+(I524+H524+F524)/5300</f>
        <v>40.754716981132077</v>
      </c>
      <c r="K524" s="84">
        <f>J524*E524</f>
        <v>40.754716981132077</v>
      </c>
      <c r="L524" s="219"/>
      <c r="M524" s="245" t="s">
        <v>23</v>
      </c>
    </row>
    <row r="525" spans="1:13">
      <c r="A525" s="218" t="s">
        <v>489</v>
      </c>
      <c r="B525" s="215" t="s">
        <v>490</v>
      </c>
      <c r="C525" s="26" t="s">
        <v>491</v>
      </c>
      <c r="D525" s="25" t="s">
        <v>3</v>
      </c>
      <c r="E525" s="49">
        <v>2</v>
      </c>
      <c r="F525" s="48">
        <v>400000</v>
      </c>
      <c r="G525" s="9">
        <f t="shared" si="48"/>
        <v>800000</v>
      </c>
      <c r="H525" s="69">
        <f t="shared" si="49"/>
        <v>60000</v>
      </c>
      <c r="I525" s="69">
        <f t="shared" si="47"/>
        <v>80000</v>
      </c>
      <c r="J525" s="54">
        <f>+(F525+H525+I525)/5300</f>
        <v>101.88679245283019</v>
      </c>
      <c r="K525" s="73">
        <f t="shared" ref="K525:K530" si="52">+J525*E525</f>
        <v>203.77358490566039</v>
      </c>
      <c r="L525" s="54">
        <f>J525*E525</f>
        <v>203.77358490566039</v>
      </c>
      <c r="M525" s="245" t="s">
        <v>30</v>
      </c>
    </row>
    <row r="526" spans="1:13">
      <c r="A526" s="94" t="s">
        <v>489</v>
      </c>
      <c r="B526" s="215" t="s">
        <v>490</v>
      </c>
      <c r="C526" s="26" t="s">
        <v>491</v>
      </c>
      <c r="D526" s="104" t="s">
        <v>3</v>
      </c>
      <c r="E526" s="226">
        <v>0</v>
      </c>
      <c r="F526" s="223">
        <v>70000</v>
      </c>
      <c r="G526" s="2">
        <f t="shared" si="48"/>
        <v>0</v>
      </c>
      <c r="H526" s="238">
        <f t="shared" si="49"/>
        <v>10500</v>
      </c>
      <c r="I526" s="51">
        <f t="shared" si="47"/>
        <v>14000</v>
      </c>
      <c r="J526" s="52">
        <f>+(H526+I526+F526)/5300</f>
        <v>17.830188679245282</v>
      </c>
      <c r="K526" s="53">
        <f t="shared" si="52"/>
        <v>0</v>
      </c>
      <c r="L526" s="52">
        <f>J526*E526</f>
        <v>0</v>
      </c>
      <c r="M526" s="245" t="s">
        <v>93</v>
      </c>
    </row>
    <row r="527" spans="1:13">
      <c r="A527" s="94" t="s">
        <v>489</v>
      </c>
      <c r="B527" s="215" t="s">
        <v>490</v>
      </c>
      <c r="C527" s="26" t="s">
        <v>491</v>
      </c>
      <c r="D527" s="26" t="s">
        <v>3</v>
      </c>
      <c r="E527" s="226">
        <v>3</v>
      </c>
      <c r="F527" s="223">
        <v>70000</v>
      </c>
      <c r="G527" s="2">
        <f t="shared" si="48"/>
        <v>210000</v>
      </c>
      <c r="H527" s="238">
        <f t="shared" si="49"/>
        <v>10500</v>
      </c>
      <c r="I527" s="51">
        <f t="shared" si="47"/>
        <v>14000</v>
      </c>
      <c r="J527" s="52">
        <f>+(F527+H527+I527)/5300</f>
        <v>17.830188679245282</v>
      </c>
      <c r="K527" s="52">
        <f t="shared" si="52"/>
        <v>53.490566037735846</v>
      </c>
      <c r="L527" s="219"/>
      <c r="M527" s="245" t="s">
        <v>87</v>
      </c>
    </row>
    <row r="528" spans="1:13">
      <c r="A528" s="94" t="s">
        <v>489</v>
      </c>
      <c r="B528" s="215" t="s">
        <v>490</v>
      </c>
      <c r="C528" s="26" t="s">
        <v>491</v>
      </c>
      <c r="D528" s="26" t="s">
        <v>3</v>
      </c>
      <c r="E528" s="226">
        <v>0</v>
      </c>
      <c r="F528" s="223">
        <v>70000</v>
      </c>
      <c r="G528" s="2">
        <f t="shared" si="48"/>
        <v>0</v>
      </c>
      <c r="H528" s="238">
        <f t="shared" si="49"/>
        <v>10500</v>
      </c>
      <c r="I528" s="51">
        <f t="shared" si="47"/>
        <v>14000</v>
      </c>
      <c r="J528" s="128">
        <f>+(F528+H528+I528)/5300</f>
        <v>17.830188679245282</v>
      </c>
      <c r="K528" s="53">
        <f t="shared" si="52"/>
        <v>0</v>
      </c>
      <c r="L528" s="52">
        <f>E528*J528</f>
        <v>0</v>
      </c>
      <c r="M528" s="245" t="s">
        <v>15</v>
      </c>
    </row>
    <row r="529" spans="1:13">
      <c r="A529" s="218" t="s">
        <v>489</v>
      </c>
      <c r="B529" s="215" t="s">
        <v>490</v>
      </c>
      <c r="C529" s="26" t="s">
        <v>491</v>
      </c>
      <c r="D529" s="25" t="s">
        <v>3</v>
      </c>
      <c r="E529" s="49">
        <v>2</v>
      </c>
      <c r="F529" s="48">
        <v>400000</v>
      </c>
      <c r="G529" s="9">
        <f t="shared" si="48"/>
        <v>800000</v>
      </c>
      <c r="H529" s="51">
        <f t="shared" si="49"/>
        <v>60000</v>
      </c>
      <c r="I529" s="51">
        <f t="shared" si="47"/>
        <v>80000</v>
      </c>
      <c r="J529" s="128">
        <f>+(F529+H529+I529)/5300</f>
        <v>101.88679245283019</v>
      </c>
      <c r="K529" s="53">
        <f t="shared" si="52"/>
        <v>203.77358490566039</v>
      </c>
      <c r="L529" s="52">
        <f>J529*E529</f>
        <v>203.77358490566039</v>
      </c>
      <c r="M529" s="245" t="s">
        <v>17</v>
      </c>
    </row>
    <row r="530" spans="1:13">
      <c r="A530" s="218" t="s">
        <v>489</v>
      </c>
      <c r="B530" s="215" t="s">
        <v>490</v>
      </c>
      <c r="C530" s="26" t="s">
        <v>491</v>
      </c>
      <c r="D530" s="25" t="s">
        <v>3</v>
      </c>
      <c r="E530" s="49">
        <v>4</v>
      </c>
      <c r="F530" s="48">
        <v>70000</v>
      </c>
      <c r="G530" s="9">
        <f t="shared" si="48"/>
        <v>280000</v>
      </c>
      <c r="H530" s="51">
        <f t="shared" si="49"/>
        <v>10500</v>
      </c>
      <c r="I530" s="51">
        <f t="shared" si="47"/>
        <v>14000</v>
      </c>
      <c r="J530" s="128">
        <f>+(F530+H530+I530)/5300</f>
        <v>17.830188679245282</v>
      </c>
      <c r="K530" s="53">
        <f t="shared" si="52"/>
        <v>71.320754716981128</v>
      </c>
      <c r="L530" s="52">
        <f>J530*E530</f>
        <v>71.320754716981128</v>
      </c>
      <c r="M530" s="245" t="s">
        <v>17</v>
      </c>
    </row>
    <row r="531" spans="1:13">
      <c r="A531" s="94" t="s">
        <v>492</v>
      </c>
      <c r="B531" s="215" t="s">
        <v>493</v>
      </c>
      <c r="C531" s="207" t="s">
        <v>494</v>
      </c>
      <c r="D531" s="207" t="s">
        <v>3</v>
      </c>
      <c r="E531" s="227">
        <v>1</v>
      </c>
      <c r="F531" s="236">
        <v>8000</v>
      </c>
      <c r="G531" s="236">
        <f t="shared" si="48"/>
        <v>8000</v>
      </c>
      <c r="H531" s="239">
        <f t="shared" si="49"/>
        <v>1200</v>
      </c>
      <c r="I531" s="206">
        <f t="shared" si="47"/>
        <v>1600</v>
      </c>
      <c r="J531" s="84">
        <f>+(F531+H531+I531)/5300</f>
        <v>2.0377358490566038</v>
      </c>
      <c r="K531" s="241">
        <f>E531*J531</f>
        <v>2.0377358490566038</v>
      </c>
      <c r="L531" s="219"/>
      <c r="M531" s="245" t="s">
        <v>20</v>
      </c>
    </row>
    <row r="532" spans="1:13">
      <c r="A532" s="1" t="s">
        <v>492</v>
      </c>
      <c r="B532" s="215" t="s">
        <v>493</v>
      </c>
      <c r="C532" s="26" t="s">
        <v>494</v>
      </c>
      <c r="D532" s="26" t="s">
        <v>3</v>
      </c>
      <c r="E532" s="226">
        <v>1</v>
      </c>
      <c r="F532" s="223">
        <v>8000</v>
      </c>
      <c r="G532" s="2">
        <f t="shared" si="48"/>
        <v>8000</v>
      </c>
      <c r="H532" s="51">
        <f t="shared" si="49"/>
        <v>1200</v>
      </c>
      <c r="I532" s="51">
        <f t="shared" si="47"/>
        <v>1600</v>
      </c>
      <c r="J532" s="52">
        <f>+(I532+H532+F532)/5300</f>
        <v>2.0377358490566038</v>
      </c>
      <c r="K532" s="52">
        <f>+J532*E532</f>
        <v>2.0377358490566038</v>
      </c>
      <c r="L532" s="219"/>
      <c r="M532" s="245" t="s">
        <v>89</v>
      </c>
    </row>
    <row r="533" spans="1:13">
      <c r="A533" s="94" t="s">
        <v>492</v>
      </c>
      <c r="B533" s="215" t="s">
        <v>493</v>
      </c>
      <c r="C533" s="26" t="s">
        <v>494</v>
      </c>
      <c r="D533" s="26" t="s">
        <v>3</v>
      </c>
      <c r="E533" s="226">
        <v>1</v>
      </c>
      <c r="F533" s="235">
        <v>8000</v>
      </c>
      <c r="G533" s="2">
        <f t="shared" si="48"/>
        <v>8000</v>
      </c>
      <c r="H533" s="51">
        <f t="shared" si="49"/>
        <v>1200</v>
      </c>
      <c r="I533" s="51">
        <f t="shared" si="47"/>
        <v>1600</v>
      </c>
      <c r="J533" s="84">
        <f>+(I533+H533+F533)/5300</f>
        <v>2.0377358490566038</v>
      </c>
      <c r="K533" s="84">
        <f>J533*E533</f>
        <v>2.0377358490566038</v>
      </c>
      <c r="L533" s="219"/>
      <c r="M533" s="245" t="s">
        <v>23</v>
      </c>
    </row>
    <row r="534" spans="1:13">
      <c r="A534" s="218" t="s">
        <v>492</v>
      </c>
      <c r="B534" s="215" t="s">
        <v>493</v>
      </c>
      <c r="C534" s="26" t="s">
        <v>494</v>
      </c>
      <c r="D534" s="25" t="s">
        <v>3</v>
      </c>
      <c r="E534" s="49">
        <v>1</v>
      </c>
      <c r="F534" s="48">
        <v>80000</v>
      </c>
      <c r="G534" s="9">
        <f t="shared" si="48"/>
        <v>80000</v>
      </c>
      <c r="H534" s="69">
        <f t="shared" si="49"/>
        <v>12000</v>
      </c>
      <c r="I534" s="69">
        <f t="shared" ref="I534:I543" si="53">+F534*0.2</f>
        <v>16000</v>
      </c>
      <c r="J534" s="54">
        <f>+(F534+H534+I534)/5300</f>
        <v>20.377358490566039</v>
      </c>
      <c r="K534" s="73">
        <f t="shared" ref="K534:K539" si="54">+J534*E534</f>
        <v>20.377358490566039</v>
      </c>
      <c r="L534" s="54">
        <f>J534*E534</f>
        <v>20.377358490566039</v>
      </c>
      <c r="M534" s="245" t="s">
        <v>30</v>
      </c>
    </row>
    <row r="535" spans="1:13">
      <c r="A535" s="94" t="s">
        <v>492</v>
      </c>
      <c r="B535" s="215" t="s">
        <v>493</v>
      </c>
      <c r="C535" s="26" t="s">
        <v>494</v>
      </c>
      <c r="D535" s="104" t="s">
        <v>3</v>
      </c>
      <c r="E535" s="226">
        <v>1</v>
      </c>
      <c r="F535" s="223">
        <v>8000</v>
      </c>
      <c r="G535" s="2">
        <f t="shared" si="48"/>
        <v>8000</v>
      </c>
      <c r="H535" s="238">
        <f t="shared" si="49"/>
        <v>1200</v>
      </c>
      <c r="I535" s="51">
        <f t="shared" si="53"/>
        <v>1600</v>
      </c>
      <c r="J535" s="52">
        <f>+(H535+I535+F535)/5300</f>
        <v>2.0377358490566038</v>
      </c>
      <c r="K535" s="53">
        <f t="shared" si="54"/>
        <v>2.0377358490566038</v>
      </c>
      <c r="L535" s="52">
        <f>J535*E535</f>
        <v>2.0377358490566038</v>
      </c>
      <c r="M535" s="245" t="s">
        <v>93</v>
      </c>
    </row>
    <row r="536" spans="1:13">
      <c r="A536" s="94" t="s">
        <v>492</v>
      </c>
      <c r="B536" s="215" t="s">
        <v>493</v>
      </c>
      <c r="C536" s="26" t="s">
        <v>494</v>
      </c>
      <c r="D536" s="26" t="s">
        <v>3</v>
      </c>
      <c r="E536" s="226">
        <v>1</v>
      </c>
      <c r="F536" s="223">
        <v>8000</v>
      </c>
      <c r="G536" s="2">
        <f t="shared" si="48"/>
        <v>8000</v>
      </c>
      <c r="H536" s="238">
        <f t="shared" si="49"/>
        <v>1200</v>
      </c>
      <c r="I536" s="51">
        <f t="shared" si="53"/>
        <v>1600</v>
      </c>
      <c r="J536" s="52">
        <f>+(F536+H536+I536)/5300</f>
        <v>2.0377358490566038</v>
      </c>
      <c r="K536" s="52">
        <f t="shared" si="54"/>
        <v>2.0377358490566038</v>
      </c>
      <c r="L536" s="219"/>
      <c r="M536" s="245" t="s">
        <v>87</v>
      </c>
    </row>
    <row r="537" spans="1:13">
      <c r="A537" s="94" t="s">
        <v>492</v>
      </c>
      <c r="B537" s="215" t="s">
        <v>493</v>
      </c>
      <c r="C537" s="26" t="s">
        <v>494</v>
      </c>
      <c r="D537" s="26" t="s">
        <v>3</v>
      </c>
      <c r="E537" s="226">
        <v>1</v>
      </c>
      <c r="F537" s="223">
        <v>8000</v>
      </c>
      <c r="G537" s="2">
        <f t="shared" si="48"/>
        <v>8000</v>
      </c>
      <c r="H537" s="238">
        <f t="shared" si="49"/>
        <v>1200</v>
      </c>
      <c r="I537" s="51">
        <f t="shared" si="53"/>
        <v>1600</v>
      </c>
      <c r="J537" s="128">
        <f>+(F537+H537+I537)/5300</f>
        <v>2.0377358490566038</v>
      </c>
      <c r="K537" s="53">
        <f t="shared" si="54"/>
        <v>2.0377358490566038</v>
      </c>
      <c r="L537" s="52">
        <f>E537*J537</f>
        <v>2.0377358490566038</v>
      </c>
      <c r="M537" s="245" t="s">
        <v>15</v>
      </c>
    </row>
    <row r="538" spans="1:13">
      <c r="A538" s="218" t="s">
        <v>492</v>
      </c>
      <c r="B538" s="215" t="s">
        <v>493</v>
      </c>
      <c r="C538" s="26" t="s">
        <v>494</v>
      </c>
      <c r="D538" s="25" t="s">
        <v>3</v>
      </c>
      <c r="E538" s="49">
        <v>1</v>
      </c>
      <c r="F538" s="48">
        <v>80000</v>
      </c>
      <c r="G538" s="9">
        <f t="shared" si="48"/>
        <v>80000</v>
      </c>
      <c r="H538" s="51">
        <f t="shared" si="49"/>
        <v>12000</v>
      </c>
      <c r="I538" s="51">
        <f t="shared" si="53"/>
        <v>16000</v>
      </c>
      <c r="J538" s="128">
        <f>+(F538+H538+I538)/5300</f>
        <v>20.377358490566039</v>
      </c>
      <c r="K538" s="53">
        <f t="shared" si="54"/>
        <v>20.377358490566039</v>
      </c>
      <c r="L538" s="52">
        <f>J538*E538</f>
        <v>20.377358490566039</v>
      </c>
      <c r="M538" s="245" t="s">
        <v>17</v>
      </c>
    </row>
    <row r="539" spans="1:13">
      <c r="A539" s="218" t="s">
        <v>492</v>
      </c>
      <c r="B539" s="215" t="s">
        <v>493</v>
      </c>
      <c r="C539" s="26" t="s">
        <v>494</v>
      </c>
      <c r="D539" s="25" t="s">
        <v>3</v>
      </c>
      <c r="E539" s="49">
        <v>2</v>
      </c>
      <c r="F539" s="48">
        <v>8000</v>
      </c>
      <c r="G539" s="9">
        <f t="shared" si="48"/>
        <v>16000</v>
      </c>
      <c r="H539" s="51">
        <f t="shared" si="49"/>
        <v>1200</v>
      </c>
      <c r="I539" s="51">
        <f t="shared" si="53"/>
        <v>1600</v>
      </c>
      <c r="J539" s="128">
        <f>+(F539+H539+I539)/5300</f>
        <v>2.0377358490566038</v>
      </c>
      <c r="K539" s="53">
        <f t="shared" si="54"/>
        <v>4.0754716981132075</v>
      </c>
      <c r="L539" s="52">
        <f>J539*E539</f>
        <v>4.0754716981132075</v>
      </c>
      <c r="M539" s="245" t="s">
        <v>17</v>
      </c>
    </row>
    <row r="540" spans="1:13">
      <c r="A540" s="283" t="s">
        <v>495</v>
      </c>
      <c r="B540" s="13" t="s">
        <v>496</v>
      </c>
      <c r="C540" s="146" t="s">
        <v>497</v>
      </c>
      <c r="D540" s="146"/>
      <c r="E540" s="213"/>
      <c r="F540" s="147"/>
      <c r="G540" s="236"/>
      <c r="H540" s="239"/>
      <c r="I540" s="206">
        <f t="shared" si="53"/>
        <v>0</v>
      </c>
      <c r="J540" s="84"/>
      <c r="K540" s="241"/>
      <c r="L540" s="219"/>
      <c r="M540" s="245" t="s">
        <v>20</v>
      </c>
    </row>
    <row r="541" spans="1:13">
      <c r="A541" s="283" t="s">
        <v>495</v>
      </c>
      <c r="B541" s="13" t="s">
        <v>496</v>
      </c>
      <c r="C541" s="6" t="s">
        <v>497</v>
      </c>
      <c r="D541" s="6"/>
      <c r="E541" s="45"/>
      <c r="F541" s="6"/>
      <c r="G541" s="2"/>
      <c r="H541" s="51">
        <f>+F541*0.15</f>
        <v>0</v>
      </c>
      <c r="I541" s="51">
        <f t="shared" si="53"/>
        <v>0</v>
      </c>
      <c r="J541" s="52"/>
      <c r="K541" s="52"/>
      <c r="L541" s="219"/>
      <c r="M541" s="245" t="s">
        <v>89</v>
      </c>
    </row>
    <row r="542" spans="1:13">
      <c r="A542" s="283" t="s">
        <v>495</v>
      </c>
      <c r="B542" s="13" t="s">
        <v>496</v>
      </c>
      <c r="C542" s="6" t="s">
        <v>497</v>
      </c>
      <c r="D542" s="6"/>
      <c r="E542" s="45"/>
      <c r="F542" s="234"/>
      <c r="G542" s="2"/>
      <c r="H542" s="51"/>
      <c r="I542" s="51">
        <f t="shared" si="53"/>
        <v>0</v>
      </c>
      <c r="J542" s="241"/>
      <c r="K542" s="52"/>
      <c r="L542" s="219"/>
      <c r="M542" s="245" t="s">
        <v>23</v>
      </c>
    </row>
    <row r="543" spans="1:13">
      <c r="A543" s="283" t="s">
        <v>495</v>
      </c>
      <c r="B543" s="13" t="s">
        <v>496</v>
      </c>
      <c r="C543" s="6" t="s">
        <v>497</v>
      </c>
      <c r="D543" s="156"/>
      <c r="E543" s="45"/>
      <c r="F543" s="6"/>
      <c r="G543" s="2"/>
      <c r="H543" s="238"/>
      <c r="I543" s="51">
        <f t="shared" si="53"/>
        <v>0</v>
      </c>
      <c r="J543" s="52"/>
      <c r="K543" s="53"/>
      <c r="L543" s="52"/>
      <c r="M543" s="245" t="s">
        <v>93</v>
      </c>
    </row>
    <row r="544" spans="1:13">
      <c r="A544" s="283" t="s">
        <v>495</v>
      </c>
      <c r="B544" s="13" t="s">
        <v>496</v>
      </c>
      <c r="C544" s="6" t="s">
        <v>497</v>
      </c>
      <c r="D544" s="6"/>
      <c r="E544" s="45"/>
      <c r="F544" s="6"/>
      <c r="G544" s="2"/>
      <c r="H544" s="238"/>
      <c r="I544" s="51"/>
      <c r="J544" s="52"/>
      <c r="K544" s="52"/>
      <c r="L544" s="219"/>
      <c r="M544" s="245" t="s">
        <v>87</v>
      </c>
    </row>
    <row r="545" spans="1:13">
      <c r="A545" s="283" t="s">
        <v>495</v>
      </c>
      <c r="B545" s="13" t="s">
        <v>496</v>
      </c>
      <c r="C545" s="6" t="s">
        <v>497</v>
      </c>
      <c r="D545" s="6"/>
      <c r="E545" s="45"/>
      <c r="F545" s="6"/>
      <c r="G545" s="2"/>
      <c r="H545" s="238"/>
      <c r="I545" s="51">
        <f>+F545*0.2</f>
        <v>0</v>
      </c>
      <c r="J545" s="128"/>
      <c r="K545" s="53"/>
      <c r="L545" s="52"/>
      <c r="M545" s="245" t="s">
        <v>15</v>
      </c>
    </row>
    <row r="546" spans="1:13">
      <c r="A546" s="284" t="s">
        <v>498</v>
      </c>
      <c r="B546" s="13" t="s">
        <v>496</v>
      </c>
      <c r="C546" s="6" t="s">
        <v>497</v>
      </c>
      <c r="D546" s="23"/>
      <c r="E546" s="65"/>
      <c r="F546" s="23"/>
      <c r="G546" s="9"/>
      <c r="H546" s="69"/>
      <c r="I546" s="69">
        <f>+F546*0.2</f>
        <v>0</v>
      </c>
      <c r="J546" s="54"/>
      <c r="K546" s="73"/>
      <c r="L546" s="54"/>
      <c r="M546" s="245" t="s">
        <v>30</v>
      </c>
    </row>
    <row r="547" spans="1:13">
      <c r="A547" s="284" t="s">
        <v>498</v>
      </c>
      <c r="B547" s="13" t="s">
        <v>496</v>
      </c>
      <c r="C547" s="6" t="s">
        <v>497</v>
      </c>
      <c r="D547" s="23"/>
      <c r="E547" s="65"/>
      <c r="F547" s="23"/>
      <c r="G547" s="9">
        <f>F547*E547</f>
        <v>0</v>
      </c>
      <c r="H547" s="51"/>
      <c r="I547" s="51">
        <f>+F547*0.15</f>
        <v>0</v>
      </c>
      <c r="J547" s="128"/>
      <c r="K547" s="53"/>
      <c r="L547" s="52"/>
      <c r="M547" s="245" t="s">
        <v>17</v>
      </c>
    </row>
    <row r="548" spans="1:13">
      <c r="A548" s="284" t="s">
        <v>498</v>
      </c>
      <c r="B548" s="13" t="s">
        <v>496</v>
      </c>
      <c r="C548" s="6" t="s">
        <v>497</v>
      </c>
      <c r="D548" s="23"/>
      <c r="E548" s="65"/>
      <c r="F548" s="23"/>
      <c r="G548" s="9"/>
      <c r="H548" s="51"/>
      <c r="I548" s="51">
        <f t="shared" ref="I548:I553" si="55">+F548*0.2</f>
        <v>0</v>
      </c>
      <c r="J548" s="128"/>
      <c r="K548" s="53"/>
      <c r="L548" s="52"/>
      <c r="M548" s="245" t="s">
        <v>17</v>
      </c>
    </row>
    <row r="549" spans="1:13">
      <c r="A549" s="280">
        <v>3.7</v>
      </c>
      <c r="B549" s="13" t="s">
        <v>499</v>
      </c>
      <c r="C549" s="146" t="s">
        <v>500</v>
      </c>
      <c r="D549" s="222"/>
      <c r="E549" s="227"/>
      <c r="F549" s="236"/>
      <c r="G549" s="236"/>
      <c r="H549" s="239"/>
      <c r="I549" s="206">
        <f t="shared" si="55"/>
        <v>0</v>
      </c>
      <c r="J549" s="84"/>
      <c r="K549" s="241"/>
      <c r="L549" s="219"/>
      <c r="M549" s="245" t="s">
        <v>20</v>
      </c>
    </row>
    <row r="550" spans="1:13">
      <c r="A550" s="281">
        <v>3.7</v>
      </c>
      <c r="B550" s="13" t="s">
        <v>499</v>
      </c>
      <c r="C550" s="6" t="s">
        <v>500</v>
      </c>
      <c r="D550" s="223"/>
      <c r="E550" s="226"/>
      <c r="F550" s="223"/>
      <c r="G550" s="2"/>
      <c r="H550" s="51">
        <f>+F550*0.15</f>
        <v>0</v>
      </c>
      <c r="I550" s="51">
        <f t="shared" si="55"/>
        <v>0</v>
      </c>
      <c r="J550" s="52"/>
      <c r="K550" s="52"/>
      <c r="L550" s="219"/>
      <c r="M550" s="245" t="s">
        <v>89</v>
      </c>
    </row>
    <row r="551" spans="1:13">
      <c r="A551" s="280">
        <v>3.7</v>
      </c>
      <c r="B551" s="13" t="s">
        <v>499</v>
      </c>
      <c r="C551" s="6" t="s">
        <v>500</v>
      </c>
      <c r="D551" s="223"/>
      <c r="E551" s="226"/>
      <c r="F551" s="235"/>
      <c r="G551" s="2"/>
      <c r="H551" s="51"/>
      <c r="I551" s="51">
        <f t="shared" si="55"/>
        <v>0</v>
      </c>
      <c r="J551" s="241"/>
      <c r="K551" s="52"/>
      <c r="L551" s="219"/>
      <c r="M551" s="245" t="s">
        <v>23</v>
      </c>
    </row>
    <row r="552" spans="1:13">
      <c r="A552" s="151">
        <v>3.7</v>
      </c>
      <c r="B552" s="13" t="s">
        <v>499</v>
      </c>
      <c r="C552" s="6" t="s">
        <v>500</v>
      </c>
      <c r="D552" s="48"/>
      <c r="E552" s="49"/>
      <c r="F552" s="48"/>
      <c r="G552" s="9"/>
      <c r="H552" s="69"/>
      <c r="I552" s="69">
        <f t="shared" si="55"/>
        <v>0</v>
      </c>
      <c r="J552" s="54"/>
      <c r="K552" s="73"/>
      <c r="L552" s="54"/>
      <c r="M552" s="245" t="s">
        <v>30</v>
      </c>
    </row>
    <row r="553" spans="1:13">
      <c r="A553" s="280">
        <v>3.7</v>
      </c>
      <c r="B553" s="13" t="s">
        <v>499</v>
      </c>
      <c r="C553" s="6" t="s">
        <v>500</v>
      </c>
      <c r="D553" s="104"/>
      <c r="E553" s="226"/>
      <c r="F553" s="223"/>
      <c r="G553" s="2"/>
      <c r="H553" s="238">
        <f>+F553*0.15</f>
        <v>0</v>
      </c>
      <c r="I553" s="51">
        <f t="shared" si="55"/>
        <v>0</v>
      </c>
      <c r="J553" s="52"/>
      <c r="K553" s="53"/>
      <c r="L553" s="52"/>
      <c r="M553" s="245" t="s">
        <v>93</v>
      </c>
    </row>
    <row r="554" spans="1:13">
      <c r="A554" s="280">
        <v>3.7</v>
      </c>
      <c r="B554" s="13" t="s">
        <v>499</v>
      </c>
      <c r="C554" s="6" t="s">
        <v>500</v>
      </c>
      <c r="D554" s="223"/>
      <c r="E554" s="226"/>
      <c r="F554" s="223"/>
      <c r="G554" s="2"/>
      <c r="H554" s="238">
        <f>+F554*0.15</f>
        <v>0</v>
      </c>
      <c r="I554" s="51">
        <f>+F554*0.15</f>
        <v>0</v>
      </c>
      <c r="J554" s="52"/>
      <c r="K554" s="52"/>
      <c r="L554" s="219"/>
      <c r="M554" s="245" t="s">
        <v>87</v>
      </c>
    </row>
    <row r="555" spans="1:13">
      <c r="A555" s="280">
        <v>3.7</v>
      </c>
      <c r="B555" s="13" t="s">
        <v>499</v>
      </c>
      <c r="C555" s="6" t="s">
        <v>500</v>
      </c>
      <c r="D555" s="223"/>
      <c r="E555" s="226"/>
      <c r="F555" s="223"/>
      <c r="G555" s="2"/>
      <c r="H555" s="238"/>
      <c r="I555" s="51">
        <f>+F555*0.2</f>
        <v>0</v>
      </c>
      <c r="J555" s="128"/>
      <c r="K555" s="53"/>
      <c r="L555" s="52"/>
      <c r="M555" s="245" t="s">
        <v>15</v>
      </c>
    </row>
    <row r="556" spans="1:13">
      <c r="A556" s="151">
        <v>3.7</v>
      </c>
      <c r="B556" s="13" t="s">
        <v>499</v>
      </c>
      <c r="C556" s="6" t="s">
        <v>500</v>
      </c>
      <c r="D556" s="48"/>
      <c r="E556" s="49"/>
      <c r="F556" s="48"/>
      <c r="G556" s="9">
        <f>F556*E556</f>
        <v>0</v>
      </c>
      <c r="H556" s="51"/>
      <c r="I556" s="51">
        <f>+F556*0.15</f>
        <v>0</v>
      </c>
      <c r="J556" s="128"/>
      <c r="K556" s="53"/>
      <c r="L556" s="52"/>
      <c r="M556" s="245" t="s">
        <v>17</v>
      </c>
    </row>
    <row r="557" spans="1:13">
      <c r="A557" s="151">
        <v>3.7</v>
      </c>
      <c r="B557" s="13" t="s">
        <v>499</v>
      </c>
      <c r="C557" s="6" t="s">
        <v>500</v>
      </c>
      <c r="D557" s="48"/>
      <c r="E557" s="49"/>
      <c r="F557" s="48"/>
      <c r="G557" s="9"/>
      <c r="H557" s="51"/>
      <c r="I557" s="51">
        <f t="shared" ref="I557:I562" si="56">+F557*0.2</f>
        <v>0</v>
      </c>
      <c r="J557" s="128"/>
      <c r="K557" s="53"/>
      <c r="L557" s="52"/>
      <c r="M557" s="245" t="s">
        <v>17</v>
      </c>
    </row>
    <row r="558" spans="1:13">
      <c r="A558" s="94" t="s">
        <v>501</v>
      </c>
      <c r="B558" s="95" t="s">
        <v>502</v>
      </c>
      <c r="C558" s="207" t="s">
        <v>503</v>
      </c>
      <c r="D558" s="207" t="s">
        <v>326</v>
      </c>
      <c r="E558" s="227">
        <v>2</v>
      </c>
      <c r="F558" s="236">
        <v>12000</v>
      </c>
      <c r="G558" s="236">
        <f t="shared" ref="G558:G576" si="57">F558*E558</f>
        <v>24000</v>
      </c>
      <c r="H558" s="239">
        <f t="shared" ref="H558:H576" si="58">+F558*0.15</f>
        <v>1800</v>
      </c>
      <c r="I558" s="206">
        <f t="shared" si="56"/>
        <v>2400</v>
      </c>
      <c r="J558" s="84">
        <f t="shared" ref="J558:J572" si="59">+(F558+H558+I558)/5300</f>
        <v>3.0566037735849059</v>
      </c>
      <c r="K558" s="241">
        <f>J558*E558</f>
        <v>6.1132075471698117</v>
      </c>
      <c r="L558" s="219"/>
      <c r="M558" s="245" t="s">
        <v>20</v>
      </c>
    </row>
    <row r="559" spans="1:13">
      <c r="A559" s="1" t="s">
        <v>501</v>
      </c>
      <c r="B559" s="95" t="s">
        <v>502</v>
      </c>
      <c r="C559" s="26" t="s">
        <v>503</v>
      </c>
      <c r="D559" s="26" t="s">
        <v>326</v>
      </c>
      <c r="E559" s="226">
        <v>2</v>
      </c>
      <c r="F559" s="223">
        <v>12000</v>
      </c>
      <c r="G559" s="2">
        <f t="shared" si="57"/>
        <v>24000</v>
      </c>
      <c r="H559" s="51">
        <f t="shared" si="58"/>
        <v>1800</v>
      </c>
      <c r="I559" s="51">
        <f t="shared" si="56"/>
        <v>2400</v>
      </c>
      <c r="J559" s="52">
        <f t="shared" si="59"/>
        <v>3.0566037735849059</v>
      </c>
      <c r="K559" s="52">
        <f t="shared" ref="K559:K570" si="60">+J559*E559</f>
        <v>6.1132075471698117</v>
      </c>
      <c r="L559" s="219"/>
      <c r="M559" s="245" t="s">
        <v>89</v>
      </c>
    </row>
    <row r="560" spans="1:13">
      <c r="A560" s="94" t="s">
        <v>501</v>
      </c>
      <c r="B560" s="95" t="s">
        <v>502</v>
      </c>
      <c r="C560" s="26" t="s">
        <v>503</v>
      </c>
      <c r="D560" s="26" t="s">
        <v>326</v>
      </c>
      <c r="E560" s="226">
        <v>2</v>
      </c>
      <c r="F560" s="235">
        <v>12000</v>
      </c>
      <c r="G560" s="2">
        <f t="shared" si="57"/>
        <v>24000</v>
      </c>
      <c r="H560" s="51">
        <f t="shared" si="58"/>
        <v>1800</v>
      </c>
      <c r="I560" s="51">
        <f t="shared" si="56"/>
        <v>2400</v>
      </c>
      <c r="J560" s="241">
        <f t="shared" si="59"/>
        <v>3.0566037735849059</v>
      </c>
      <c r="K560" s="52">
        <f t="shared" si="60"/>
        <v>6.1132075471698117</v>
      </c>
      <c r="L560" s="219"/>
      <c r="M560" s="245" t="s">
        <v>23</v>
      </c>
    </row>
    <row r="561" spans="1:13">
      <c r="A561" s="218" t="s">
        <v>501</v>
      </c>
      <c r="B561" s="95" t="s">
        <v>502</v>
      </c>
      <c r="C561" s="26" t="s">
        <v>503</v>
      </c>
      <c r="D561" s="25" t="s">
        <v>326</v>
      </c>
      <c r="E561" s="49">
        <v>2</v>
      </c>
      <c r="F561" s="48">
        <v>12000</v>
      </c>
      <c r="G561" s="9">
        <f t="shared" si="57"/>
        <v>24000</v>
      </c>
      <c r="H561" s="69">
        <f t="shared" si="58"/>
        <v>1800</v>
      </c>
      <c r="I561" s="69">
        <f t="shared" si="56"/>
        <v>2400</v>
      </c>
      <c r="J561" s="54">
        <f t="shared" si="59"/>
        <v>3.0566037735849059</v>
      </c>
      <c r="K561" s="73">
        <f t="shared" si="60"/>
        <v>6.1132075471698117</v>
      </c>
      <c r="L561" s="54">
        <f>+J561*E561</f>
        <v>6.1132075471698117</v>
      </c>
      <c r="M561" s="245" t="s">
        <v>30</v>
      </c>
    </row>
    <row r="562" spans="1:13">
      <c r="A562" s="94" t="s">
        <v>501</v>
      </c>
      <c r="B562" s="95" t="s">
        <v>502</v>
      </c>
      <c r="C562" s="26" t="s">
        <v>503</v>
      </c>
      <c r="D562" s="104" t="s">
        <v>326</v>
      </c>
      <c r="E562" s="226">
        <v>2</v>
      </c>
      <c r="F562" s="223">
        <v>12000</v>
      </c>
      <c r="G562" s="2">
        <f t="shared" si="57"/>
        <v>24000</v>
      </c>
      <c r="H562" s="238">
        <f t="shared" si="58"/>
        <v>1800</v>
      </c>
      <c r="I562" s="51">
        <f t="shared" si="56"/>
        <v>2400</v>
      </c>
      <c r="J562" s="52">
        <f t="shared" si="59"/>
        <v>3.0566037735849059</v>
      </c>
      <c r="K562" s="53">
        <f t="shared" si="60"/>
        <v>6.1132075471698117</v>
      </c>
      <c r="L562" s="52">
        <f>J562*E562</f>
        <v>6.1132075471698117</v>
      </c>
      <c r="M562" s="245" t="s">
        <v>93</v>
      </c>
    </row>
    <row r="563" spans="1:13">
      <c r="A563" s="94" t="s">
        <v>501</v>
      </c>
      <c r="B563" s="95" t="s">
        <v>502</v>
      </c>
      <c r="C563" s="26" t="s">
        <v>503</v>
      </c>
      <c r="D563" s="26" t="s">
        <v>326</v>
      </c>
      <c r="E563" s="226">
        <v>2</v>
      </c>
      <c r="F563" s="223">
        <v>12000</v>
      </c>
      <c r="G563" s="2">
        <f t="shared" si="57"/>
        <v>24000</v>
      </c>
      <c r="H563" s="238">
        <f t="shared" si="58"/>
        <v>1800</v>
      </c>
      <c r="I563" s="51">
        <f>+F563*0.15</f>
        <v>1800</v>
      </c>
      <c r="J563" s="52">
        <f t="shared" si="59"/>
        <v>2.9433962264150941</v>
      </c>
      <c r="K563" s="52">
        <f t="shared" si="60"/>
        <v>5.8867924528301883</v>
      </c>
      <c r="L563" s="219"/>
      <c r="M563" s="245" t="s">
        <v>87</v>
      </c>
    </row>
    <row r="564" spans="1:13">
      <c r="A564" s="94" t="s">
        <v>501</v>
      </c>
      <c r="B564" s="95" t="s">
        <v>502</v>
      </c>
      <c r="C564" s="26" t="s">
        <v>503</v>
      </c>
      <c r="D564" s="26" t="s">
        <v>326</v>
      </c>
      <c r="E564" s="226">
        <v>2</v>
      </c>
      <c r="F564" s="223">
        <v>12000</v>
      </c>
      <c r="G564" s="2">
        <f t="shared" si="57"/>
        <v>24000</v>
      </c>
      <c r="H564" s="238">
        <f t="shared" si="58"/>
        <v>1800</v>
      </c>
      <c r="I564" s="51">
        <f>+F564*0.2</f>
        <v>2400</v>
      </c>
      <c r="J564" s="128">
        <f t="shared" si="59"/>
        <v>3.0566037735849059</v>
      </c>
      <c r="K564" s="53">
        <f t="shared" si="60"/>
        <v>6.1132075471698117</v>
      </c>
      <c r="L564" s="52">
        <f>E564*J564</f>
        <v>6.1132075471698117</v>
      </c>
      <c r="M564" s="245" t="s">
        <v>15</v>
      </c>
    </row>
    <row r="565" spans="1:13">
      <c r="A565" s="218" t="s">
        <v>501</v>
      </c>
      <c r="B565" s="95" t="s">
        <v>502</v>
      </c>
      <c r="C565" s="26" t="s">
        <v>503</v>
      </c>
      <c r="D565" s="25" t="s">
        <v>326</v>
      </c>
      <c r="E565" s="49">
        <v>2</v>
      </c>
      <c r="F565" s="48">
        <v>12000</v>
      </c>
      <c r="G565" s="9">
        <f t="shared" si="57"/>
        <v>24000</v>
      </c>
      <c r="H565" s="51">
        <f t="shared" si="58"/>
        <v>1800</v>
      </c>
      <c r="I565" s="51">
        <f>+F565*0.15</f>
        <v>1800</v>
      </c>
      <c r="J565" s="128">
        <f t="shared" si="59"/>
        <v>2.9433962264150941</v>
      </c>
      <c r="K565" s="53">
        <f t="shared" si="60"/>
        <v>5.8867924528301883</v>
      </c>
      <c r="L565" s="52">
        <f>J565*E565</f>
        <v>5.8867924528301883</v>
      </c>
      <c r="M565" s="245" t="s">
        <v>17</v>
      </c>
    </row>
    <row r="566" spans="1:13">
      <c r="A566" s="218" t="s">
        <v>501</v>
      </c>
      <c r="B566" s="95" t="s">
        <v>502</v>
      </c>
      <c r="C566" s="26" t="s">
        <v>503</v>
      </c>
      <c r="D566" s="25" t="s">
        <v>326</v>
      </c>
      <c r="E566" s="49">
        <v>4</v>
      </c>
      <c r="F566" s="48">
        <v>12000</v>
      </c>
      <c r="G566" s="9">
        <f t="shared" si="57"/>
        <v>48000</v>
      </c>
      <c r="H566" s="51">
        <f t="shared" si="58"/>
        <v>1800</v>
      </c>
      <c r="I566" s="51">
        <f>+F566*0.2</f>
        <v>2400</v>
      </c>
      <c r="J566" s="128">
        <f t="shared" si="59"/>
        <v>3.0566037735849059</v>
      </c>
      <c r="K566" s="53">
        <f t="shared" si="60"/>
        <v>12.226415094339623</v>
      </c>
      <c r="L566" s="52">
        <f>J566*E566</f>
        <v>12.226415094339623</v>
      </c>
      <c r="M566" s="245" t="s">
        <v>17</v>
      </c>
    </row>
    <row r="567" spans="1:13">
      <c r="A567" s="94" t="s">
        <v>504</v>
      </c>
      <c r="B567" s="95" t="s">
        <v>505</v>
      </c>
      <c r="C567" s="207" t="s">
        <v>506</v>
      </c>
      <c r="D567" s="207" t="s">
        <v>326</v>
      </c>
      <c r="E567" s="227">
        <v>1</v>
      </c>
      <c r="F567" s="236">
        <v>20000</v>
      </c>
      <c r="G567" s="236">
        <f t="shared" si="57"/>
        <v>20000</v>
      </c>
      <c r="H567" s="239">
        <f t="shared" si="58"/>
        <v>3000</v>
      </c>
      <c r="I567" s="206">
        <f>+F567*0.2</f>
        <v>4000</v>
      </c>
      <c r="J567" s="84">
        <f t="shared" si="59"/>
        <v>5.0943396226415096</v>
      </c>
      <c r="K567" s="241">
        <f t="shared" si="60"/>
        <v>5.0943396226415096</v>
      </c>
      <c r="L567" s="219"/>
      <c r="M567" s="245" t="s">
        <v>20</v>
      </c>
    </row>
    <row r="568" spans="1:13">
      <c r="A568" s="1" t="s">
        <v>504</v>
      </c>
      <c r="B568" s="95" t="s">
        <v>505</v>
      </c>
      <c r="C568" s="26" t="s">
        <v>506</v>
      </c>
      <c r="D568" s="26" t="s">
        <v>326</v>
      </c>
      <c r="E568" s="226">
        <v>1</v>
      </c>
      <c r="F568" s="223">
        <v>20000</v>
      </c>
      <c r="G568" s="2">
        <f t="shared" si="57"/>
        <v>20000</v>
      </c>
      <c r="H568" s="51">
        <f t="shared" si="58"/>
        <v>3000</v>
      </c>
      <c r="I568" s="51">
        <f>+F568*0.2</f>
        <v>4000</v>
      </c>
      <c r="J568" s="52">
        <f t="shared" si="59"/>
        <v>5.0943396226415096</v>
      </c>
      <c r="K568" s="52">
        <f t="shared" si="60"/>
        <v>5.0943396226415096</v>
      </c>
      <c r="L568" s="219"/>
      <c r="M568" s="245" t="s">
        <v>89</v>
      </c>
    </row>
    <row r="569" spans="1:13">
      <c r="A569" s="94" t="s">
        <v>504</v>
      </c>
      <c r="B569" s="95" t="s">
        <v>505</v>
      </c>
      <c r="C569" s="26" t="s">
        <v>506</v>
      </c>
      <c r="D569" s="26" t="s">
        <v>326</v>
      </c>
      <c r="E569" s="226">
        <v>1</v>
      </c>
      <c r="F569" s="223">
        <v>20000</v>
      </c>
      <c r="G569" s="2">
        <f t="shared" si="57"/>
        <v>20000</v>
      </c>
      <c r="H569" s="238">
        <f t="shared" si="58"/>
        <v>3000</v>
      </c>
      <c r="I569" s="51">
        <f>+F569*0.15</f>
        <v>3000</v>
      </c>
      <c r="J569" s="240">
        <f t="shared" si="59"/>
        <v>4.9056603773584904</v>
      </c>
      <c r="K569" s="51">
        <f t="shared" si="60"/>
        <v>4.9056603773584904</v>
      </c>
      <c r="L569" s="240">
        <f>+E569*J569</f>
        <v>4.9056603773584904</v>
      </c>
      <c r="M569" s="245" t="s">
        <v>117</v>
      </c>
    </row>
    <row r="570" spans="1:13">
      <c r="A570" s="1" t="s">
        <v>504</v>
      </c>
      <c r="B570" s="95" t="s">
        <v>505</v>
      </c>
      <c r="C570" s="26" t="s">
        <v>506</v>
      </c>
      <c r="D570" s="26" t="s">
        <v>326</v>
      </c>
      <c r="E570" s="223">
        <v>1</v>
      </c>
      <c r="F570" s="223">
        <v>20000</v>
      </c>
      <c r="G570" s="2">
        <f t="shared" si="57"/>
        <v>20000</v>
      </c>
      <c r="H570" s="238">
        <f t="shared" si="58"/>
        <v>3000</v>
      </c>
      <c r="I570" s="51">
        <f t="shared" ref="I570:I581" si="61">+F570*0.2</f>
        <v>4000</v>
      </c>
      <c r="J570" s="52">
        <f t="shared" si="59"/>
        <v>5.0943396226415096</v>
      </c>
      <c r="K570" s="53">
        <f t="shared" si="60"/>
        <v>5.0943396226415096</v>
      </c>
      <c r="L570" s="52">
        <f>J570*E570</f>
        <v>5.0943396226415096</v>
      </c>
      <c r="M570" s="245" t="s">
        <v>118</v>
      </c>
    </row>
    <row r="571" spans="1:13">
      <c r="A571" s="94" t="s">
        <v>504</v>
      </c>
      <c r="B571" s="95" t="s">
        <v>505</v>
      </c>
      <c r="C571" s="26" t="s">
        <v>506</v>
      </c>
      <c r="D571" s="26" t="s">
        <v>326</v>
      </c>
      <c r="E571" s="226">
        <v>1</v>
      </c>
      <c r="F571" s="235">
        <v>20000</v>
      </c>
      <c r="G571" s="2">
        <f t="shared" si="57"/>
        <v>20000</v>
      </c>
      <c r="H571" s="51">
        <f t="shared" si="58"/>
        <v>3000</v>
      </c>
      <c r="I571" s="51">
        <f t="shared" si="61"/>
        <v>4000</v>
      </c>
      <c r="J571" s="84">
        <f t="shared" si="59"/>
        <v>5.0943396226415096</v>
      </c>
      <c r="K571" s="52">
        <f>J571*E571</f>
        <v>5.0943396226415096</v>
      </c>
      <c r="L571" s="219"/>
      <c r="M571" s="245" t="s">
        <v>23</v>
      </c>
    </row>
    <row r="572" spans="1:13">
      <c r="A572" s="218" t="s">
        <v>504</v>
      </c>
      <c r="B572" s="95" t="s">
        <v>505</v>
      </c>
      <c r="C572" s="26" t="s">
        <v>506</v>
      </c>
      <c r="D572" s="25" t="s">
        <v>326</v>
      </c>
      <c r="E572" s="49">
        <v>1</v>
      </c>
      <c r="F572" s="48">
        <v>20000</v>
      </c>
      <c r="G572" s="9">
        <f t="shared" si="57"/>
        <v>20000</v>
      </c>
      <c r="H572" s="51">
        <f t="shared" si="58"/>
        <v>3000</v>
      </c>
      <c r="I572" s="51">
        <f t="shared" si="61"/>
        <v>4000</v>
      </c>
      <c r="J572" s="52">
        <f t="shared" si="59"/>
        <v>5.0943396226415096</v>
      </c>
      <c r="K572" s="53">
        <f>+J572*E572</f>
        <v>5.0943396226415096</v>
      </c>
      <c r="L572" s="54">
        <f>+J572*E572</f>
        <v>5.0943396226415096</v>
      </c>
      <c r="M572" s="245" t="s">
        <v>30</v>
      </c>
    </row>
    <row r="573" spans="1:13">
      <c r="A573" s="94" t="s">
        <v>504</v>
      </c>
      <c r="B573" s="95" t="s">
        <v>505</v>
      </c>
      <c r="C573" s="26" t="s">
        <v>506</v>
      </c>
      <c r="D573" s="104" t="s">
        <v>326</v>
      </c>
      <c r="E573" s="226">
        <v>1</v>
      </c>
      <c r="F573" s="223">
        <v>20000</v>
      </c>
      <c r="G573" s="2">
        <f t="shared" si="57"/>
        <v>20000</v>
      </c>
      <c r="H573" s="238">
        <f t="shared" si="58"/>
        <v>3000</v>
      </c>
      <c r="I573" s="51">
        <f t="shared" si="61"/>
        <v>4000</v>
      </c>
      <c r="J573" s="52">
        <f>+(H573+I573+F573)/5300</f>
        <v>5.0943396226415096</v>
      </c>
      <c r="K573" s="53">
        <f>+J573*E573</f>
        <v>5.0943396226415096</v>
      </c>
      <c r="L573" s="52">
        <f>E573*J573</f>
        <v>5.0943396226415096</v>
      </c>
      <c r="M573" s="245" t="s">
        <v>93</v>
      </c>
    </row>
    <row r="574" spans="1:13">
      <c r="A574" s="94" t="s">
        <v>504</v>
      </c>
      <c r="B574" s="95" t="s">
        <v>505</v>
      </c>
      <c r="C574" s="26" t="s">
        <v>506</v>
      </c>
      <c r="D574" s="26" t="s">
        <v>326</v>
      </c>
      <c r="E574" s="226">
        <v>1</v>
      </c>
      <c r="F574" s="223">
        <v>20000</v>
      </c>
      <c r="G574" s="2">
        <f t="shared" si="57"/>
        <v>20000</v>
      </c>
      <c r="H574" s="238">
        <f t="shared" si="58"/>
        <v>3000</v>
      </c>
      <c r="I574" s="51">
        <f t="shared" si="61"/>
        <v>4000</v>
      </c>
      <c r="J574" s="52">
        <f>+(F574+H574+I574)/5300</f>
        <v>5.0943396226415096</v>
      </c>
      <c r="K574" s="52">
        <f>+J574*E574</f>
        <v>5.0943396226415096</v>
      </c>
      <c r="L574" s="219"/>
      <c r="M574" s="245" t="s">
        <v>87</v>
      </c>
    </row>
    <row r="575" spans="1:13">
      <c r="A575" s="94" t="s">
        <v>504</v>
      </c>
      <c r="B575" s="95" t="s">
        <v>505</v>
      </c>
      <c r="C575" s="26" t="s">
        <v>506</v>
      </c>
      <c r="D575" s="26" t="s">
        <v>326</v>
      </c>
      <c r="E575" s="226">
        <v>1</v>
      </c>
      <c r="F575" s="223">
        <v>20000</v>
      </c>
      <c r="G575" s="2">
        <f t="shared" si="57"/>
        <v>20000</v>
      </c>
      <c r="H575" s="238">
        <f t="shared" si="58"/>
        <v>3000</v>
      </c>
      <c r="I575" s="51">
        <f t="shared" si="61"/>
        <v>4000</v>
      </c>
      <c r="J575" s="128">
        <f>+(F575+H575+I575)/5300</f>
        <v>5.0943396226415096</v>
      </c>
      <c r="K575" s="53">
        <f>+J575*E575</f>
        <v>5.0943396226415096</v>
      </c>
      <c r="L575" s="52">
        <f>E575*J575</f>
        <v>5.0943396226415096</v>
      </c>
      <c r="M575" s="245" t="s">
        <v>15</v>
      </c>
    </row>
    <row r="576" spans="1:13">
      <c r="A576" s="218" t="s">
        <v>504</v>
      </c>
      <c r="B576" s="95" t="s">
        <v>505</v>
      </c>
      <c r="C576" s="26" t="s">
        <v>506</v>
      </c>
      <c r="D576" s="25" t="s">
        <v>326</v>
      </c>
      <c r="E576" s="49">
        <v>2</v>
      </c>
      <c r="F576" s="48">
        <v>20000</v>
      </c>
      <c r="G576" s="9">
        <f t="shared" si="57"/>
        <v>40000</v>
      </c>
      <c r="H576" s="51">
        <f t="shared" si="58"/>
        <v>3000</v>
      </c>
      <c r="I576" s="51">
        <f t="shared" si="61"/>
        <v>4000</v>
      </c>
      <c r="J576" s="128">
        <f>+(I576+H576+F576)/5300</f>
        <v>5.0943396226415096</v>
      </c>
      <c r="K576" s="53">
        <f>+J576*E576</f>
        <v>10.188679245283019</v>
      </c>
      <c r="L576" s="52">
        <f>J576*E576</f>
        <v>10.188679245283019</v>
      </c>
      <c r="M576" s="245" t="s">
        <v>17</v>
      </c>
    </row>
    <row r="577" spans="1:13">
      <c r="A577" s="280">
        <v>3.5</v>
      </c>
      <c r="B577" s="13" t="s">
        <v>507</v>
      </c>
      <c r="C577" s="146" t="s">
        <v>508</v>
      </c>
      <c r="D577" s="222"/>
      <c r="E577" s="227"/>
      <c r="F577" s="236"/>
      <c r="G577" s="236"/>
      <c r="H577" s="239"/>
      <c r="I577" s="206">
        <f t="shared" si="61"/>
        <v>0</v>
      </c>
      <c r="J577" s="84"/>
      <c r="K577" s="241"/>
      <c r="L577" s="219"/>
      <c r="M577" s="245" t="s">
        <v>20</v>
      </c>
    </row>
    <row r="578" spans="1:13">
      <c r="A578" s="281">
        <v>3.5</v>
      </c>
      <c r="B578" s="13" t="s">
        <v>507</v>
      </c>
      <c r="C578" s="6" t="s">
        <v>508</v>
      </c>
      <c r="D578" s="223"/>
      <c r="E578" s="226"/>
      <c r="F578" s="223"/>
      <c r="G578" s="2"/>
      <c r="H578" s="51">
        <f>+F578*0.15</f>
        <v>0</v>
      </c>
      <c r="I578" s="51">
        <f t="shared" si="61"/>
        <v>0</v>
      </c>
      <c r="J578" s="52"/>
      <c r="K578" s="52"/>
      <c r="L578" s="219"/>
      <c r="M578" s="245" t="s">
        <v>89</v>
      </c>
    </row>
    <row r="579" spans="1:13">
      <c r="A579" s="280">
        <v>3.5</v>
      </c>
      <c r="B579" s="13" t="s">
        <v>507</v>
      </c>
      <c r="C579" s="6" t="s">
        <v>508</v>
      </c>
      <c r="D579" s="223"/>
      <c r="E579" s="226"/>
      <c r="F579" s="235"/>
      <c r="G579" s="2"/>
      <c r="H579" s="51"/>
      <c r="I579" s="51">
        <f t="shared" si="61"/>
        <v>0</v>
      </c>
      <c r="J579" s="241"/>
      <c r="K579" s="52"/>
      <c r="L579" s="219"/>
      <c r="M579" s="245" t="s">
        <v>23</v>
      </c>
    </row>
    <row r="580" spans="1:13">
      <c r="A580" s="151">
        <v>3.5</v>
      </c>
      <c r="B580" s="13" t="s">
        <v>507</v>
      </c>
      <c r="C580" s="6" t="s">
        <v>508</v>
      </c>
      <c r="D580" s="48"/>
      <c r="E580" s="49"/>
      <c r="F580" s="48"/>
      <c r="G580" s="9"/>
      <c r="H580" s="69"/>
      <c r="I580" s="69">
        <f t="shared" si="61"/>
        <v>0</v>
      </c>
      <c r="J580" s="54"/>
      <c r="K580" s="73"/>
      <c r="L580" s="54"/>
      <c r="M580" s="245" t="s">
        <v>30</v>
      </c>
    </row>
    <row r="581" spans="1:13">
      <c r="A581" s="280">
        <v>3.5</v>
      </c>
      <c r="B581" s="13" t="s">
        <v>507</v>
      </c>
      <c r="C581" s="6" t="s">
        <v>508</v>
      </c>
      <c r="D581" s="104"/>
      <c r="E581" s="226"/>
      <c r="F581" s="223"/>
      <c r="G581" s="2"/>
      <c r="H581" s="238">
        <f>+F581*0.15</f>
        <v>0</v>
      </c>
      <c r="I581" s="51">
        <f t="shared" si="61"/>
        <v>0</v>
      </c>
      <c r="J581" s="52"/>
      <c r="K581" s="53"/>
      <c r="L581" s="52"/>
      <c r="M581" s="245" t="s">
        <v>93</v>
      </c>
    </row>
    <row r="582" spans="1:13">
      <c r="A582" s="280">
        <v>3.5</v>
      </c>
      <c r="B582" s="13" t="s">
        <v>507</v>
      </c>
      <c r="C582" s="6" t="s">
        <v>508</v>
      </c>
      <c r="D582" s="223"/>
      <c r="E582" s="226"/>
      <c r="F582" s="223"/>
      <c r="G582" s="2"/>
      <c r="H582" s="238">
        <f>+F582*0.15</f>
        <v>0</v>
      </c>
      <c r="I582" s="51">
        <f>+F582*0.15</f>
        <v>0</v>
      </c>
      <c r="J582" s="52"/>
      <c r="K582" s="52"/>
      <c r="L582" s="219"/>
      <c r="M582" s="245" t="s">
        <v>87</v>
      </c>
    </row>
    <row r="583" spans="1:13">
      <c r="A583" s="280">
        <v>3.5</v>
      </c>
      <c r="B583" s="13" t="s">
        <v>507</v>
      </c>
      <c r="C583" s="6" t="s">
        <v>508</v>
      </c>
      <c r="D583" s="223"/>
      <c r="E583" s="226"/>
      <c r="F583" s="223"/>
      <c r="G583" s="2"/>
      <c r="H583" s="238"/>
      <c r="I583" s="51">
        <f>+F583*0.2</f>
        <v>0</v>
      </c>
      <c r="J583" s="128"/>
      <c r="K583" s="53"/>
      <c r="L583" s="52"/>
      <c r="M583" s="245" t="s">
        <v>15</v>
      </c>
    </row>
    <row r="584" spans="1:13">
      <c r="A584" s="151">
        <v>3.5</v>
      </c>
      <c r="B584" s="13" t="s">
        <v>507</v>
      </c>
      <c r="C584" s="6" t="s">
        <v>508</v>
      </c>
      <c r="D584" s="48"/>
      <c r="E584" s="49"/>
      <c r="F584" s="48"/>
      <c r="G584" s="9">
        <f>F584*E584</f>
        <v>0</v>
      </c>
      <c r="H584" s="51"/>
      <c r="I584" s="51">
        <f>+F584*0.15</f>
        <v>0</v>
      </c>
      <c r="J584" s="128"/>
      <c r="K584" s="53"/>
      <c r="L584" s="52"/>
      <c r="M584" s="245" t="s">
        <v>17</v>
      </c>
    </row>
    <row r="585" spans="1:13">
      <c r="A585" s="151">
        <v>3.5</v>
      </c>
      <c r="B585" s="13" t="s">
        <v>507</v>
      </c>
      <c r="C585" s="6" t="s">
        <v>508</v>
      </c>
      <c r="D585" s="48"/>
      <c r="E585" s="49"/>
      <c r="F585" s="48"/>
      <c r="G585" s="9"/>
      <c r="H585" s="51"/>
      <c r="I585" s="51">
        <f t="shared" ref="I585:I590" si="62">+F585*0.2</f>
        <v>0</v>
      </c>
      <c r="J585" s="128"/>
      <c r="K585" s="53"/>
      <c r="L585" s="52"/>
      <c r="M585" s="245" t="s">
        <v>17</v>
      </c>
    </row>
    <row r="586" spans="1:13">
      <c r="A586" s="94" t="s">
        <v>509</v>
      </c>
      <c r="B586" s="95" t="s">
        <v>510</v>
      </c>
      <c r="C586" s="207" t="s">
        <v>511</v>
      </c>
      <c r="D586" s="207" t="s">
        <v>326</v>
      </c>
      <c r="E586" s="227">
        <v>12</v>
      </c>
      <c r="F586" s="236">
        <v>5000</v>
      </c>
      <c r="G586" s="236">
        <f t="shared" ref="G586:G594" si="63">F586*E586</f>
        <v>60000</v>
      </c>
      <c r="H586" s="239">
        <f t="shared" ref="H586:H594" si="64">+F586*0.15</f>
        <v>750</v>
      </c>
      <c r="I586" s="206">
        <f t="shared" si="62"/>
        <v>1000</v>
      </c>
      <c r="J586" s="84">
        <f t="shared" ref="J586:J594" si="65">+(F586+H586+I586)/5300</f>
        <v>1.2735849056603774</v>
      </c>
      <c r="K586" s="241">
        <f>J586*E586</f>
        <v>15.283018867924529</v>
      </c>
      <c r="L586" s="219"/>
      <c r="M586" s="245" t="s">
        <v>20</v>
      </c>
    </row>
    <row r="587" spans="1:13">
      <c r="A587" s="1" t="s">
        <v>509</v>
      </c>
      <c r="B587" s="95" t="s">
        <v>510</v>
      </c>
      <c r="C587" s="26" t="s">
        <v>511</v>
      </c>
      <c r="D587" s="26" t="s">
        <v>326</v>
      </c>
      <c r="E587" s="226">
        <v>12</v>
      </c>
      <c r="F587" s="223">
        <v>5000</v>
      </c>
      <c r="G587" s="2">
        <f t="shared" si="63"/>
        <v>60000</v>
      </c>
      <c r="H587" s="51">
        <f t="shared" si="64"/>
        <v>750</v>
      </c>
      <c r="I587" s="51">
        <f t="shared" si="62"/>
        <v>1000</v>
      </c>
      <c r="J587" s="52">
        <f t="shared" si="65"/>
        <v>1.2735849056603774</v>
      </c>
      <c r="K587" s="52">
        <f t="shared" ref="K587:K594" si="66">+J587*E587</f>
        <v>15.283018867924529</v>
      </c>
      <c r="L587" s="219"/>
      <c r="M587" s="245" t="s">
        <v>89</v>
      </c>
    </row>
    <row r="588" spans="1:13">
      <c r="A588" s="94" t="s">
        <v>509</v>
      </c>
      <c r="B588" s="95" t="s">
        <v>510</v>
      </c>
      <c r="C588" s="26" t="s">
        <v>511</v>
      </c>
      <c r="D588" s="26" t="s">
        <v>326</v>
      </c>
      <c r="E588" s="226">
        <v>28</v>
      </c>
      <c r="F588" s="235">
        <v>5000</v>
      </c>
      <c r="G588" s="2">
        <f t="shared" si="63"/>
        <v>140000</v>
      </c>
      <c r="H588" s="51">
        <f t="shared" si="64"/>
        <v>750</v>
      </c>
      <c r="I588" s="51">
        <f t="shared" si="62"/>
        <v>1000</v>
      </c>
      <c r="J588" s="241">
        <f t="shared" si="65"/>
        <v>1.2735849056603774</v>
      </c>
      <c r="K588" s="52">
        <f t="shared" si="66"/>
        <v>35.660377358490564</v>
      </c>
      <c r="L588" s="219"/>
      <c r="M588" s="245" t="s">
        <v>23</v>
      </c>
    </row>
    <row r="589" spans="1:13">
      <c r="A589" s="218" t="s">
        <v>509</v>
      </c>
      <c r="B589" s="95" t="s">
        <v>510</v>
      </c>
      <c r="C589" s="26" t="s">
        <v>511</v>
      </c>
      <c r="D589" s="25" t="s">
        <v>326</v>
      </c>
      <c r="E589" s="49">
        <v>16</v>
      </c>
      <c r="F589" s="48">
        <v>5000</v>
      </c>
      <c r="G589" s="9">
        <f t="shared" si="63"/>
        <v>80000</v>
      </c>
      <c r="H589" s="69">
        <f t="shared" si="64"/>
        <v>750</v>
      </c>
      <c r="I589" s="69">
        <f t="shared" si="62"/>
        <v>1000</v>
      </c>
      <c r="J589" s="54">
        <f t="shared" si="65"/>
        <v>1.2735849056603774</v>
      </c>
      <c r="K589" s="73">
        <f t="shared" si="66"/>
        <v>20.377358490566039</v>
      </c>
      <c r="L589" s="54">
        <f>+J589*E589</f>
        <v>20.377358490566039</v>
      </c>
      <c r="M589" s="245" t="s">
        <v>30</v>
      </c>
    </row>
    <row r="590" spans="1:13">
      <c r="A590" s="94" t="s">
        <v>509</v>
      </c>
      <c r="B590" s="95" t="s">
        <v>510</v>
      </c>
      <c r="C590" s="26" t="s">
        <v>511</v>
      </c>
      <c r="D590" s="104" t="s">
        <v>326</v>
      </c>
      <c r="E590" s="226">
        <v>12</v>
      </c>
      <c r="F590" s="223">
        <v>5000</v>
      </c>
      <c r="G590" s="2">
        <f t="shared" si="63"/>
        <v>60000</v>
      </c>
      <c r="H590" s="238">
        <f t="shared" si="64"/>
        <v>750</v>
      </c>
      <c r="I590" s="51">
        <f t="shared" si="62"/>
        <v>1000</v>
      </c>
      <c r="J590" s="52">
        <f t="shared" si="65"/>
        <v>1.2735849056603774</v>
      </c>
      <c r="K590" s="53">
        <f t="shared" si="66"/>
        <v>15.283018867924529</v>
      </c>
      <c r="L590" s="52">
        <f>J590*E590</f>
        <v>15.283018867924529</v>
      </c>
      <c r="M590" s="245" t="s">
        <v>93</v>
      </c>
    </row>
    <row r="591" spans="1:13">
      <c r="A591" s="94" t="s">
        <v>509</v>
      </c>
      <c r="B591" s="95" t="s">
        <v>510</v>
      </c>
      <c r="C591" s="26" t="s">
        <v>511</v>
      </c>
      <c r="D591" s="26" t="s">
        <v>326</v>
      </c>
      <c r="E591" s="226">
        <v>12</v>
      </c>
      <c r="F591" s="223">
        <v>5000</v>
      </c>
      <c r="G591" s="2">
        <f t="shared" si="63"/>
        <v>60000</v>
      </c>
      <c r="H591" s="238">
        <f t="shared" si="64"/>
        <v>750</v>
      </c>
      <c r="I591" s="51">
        <f>+F591*0.15</f>
        <v>750</v>
      </c>
      <c r="J591" s="52">
        <f t="shared" si="65"/>
        <v>1.2264150943396226</v>
      </c>
      <c r="K591" s="52">
        <f t="shared" si="66"/>
        <v>14.716981132075471</v>
      </c>
      <c r="L591" s="219"/>
      <c r="M591" s="245" t="s">
        <v>87</v>
      </c>
    </row>
    <row r="592" spans="1:13">
      <c r="A592" s="94" t="s">
        <v>509</v>
      </c>
      <c r="B592" s="95" t="s">
        <v>510</v>
      </c>
      <c r="C592" s="26" t="s">
        <v>511</v>
      </c>
      <c r="D592" s="26" t="s">
        <v>326</v>
      </c>
      <c r="E592" s="226">
        <v>12</v>
      </c>
      <c r="F592" s="223">
        <v>5000</v>
      </c>
      <c r="G592" s="2">
        <f t="shared" si="63"/>
        <v>60000</v>
      </c>
      <c r="H592" s="238">
        <f t="shared" si="64"/>
        <v>750</v>
      </c>
      <c r="I592" s="51">
        <f>+F592*0.2</f>
        <v>1000</v>
      </c>
      <c r="J592" s="128">
        <f t="shared" si="65"/>
        <v>1.2735849056603774</v>
      </c>
      <c r="K592" s="53">
        <f t="shared" si="66"/>
        <v>15.283018867924529</v>
      </c>
      <c r="L592" s="52">
        <f>E592*J592</f>
        <v>15.283018867924529</v>
      </c>
      <c r="M592" s="245" t="s">
        <v>15</v>
      </c>
    </row>
    <row r="593" spans="1:13">
      <c r="A593" s="218" t="s">
        <v>509</v>
      </c>
      <c r="B593" s="95" t="s">
        <v>510</v>
      </c>
      <c r="C593" s="26" t="s">
        <v>511</v>
      </c>
      <c r="D593" s="25" t="s">
        <v>326</v>
      </c>
      <c r="E593" s="49">
        <v>16</v>
      </c>
      <c r="F593" s="48">
        <v>5000</v>
      </c>
      <c r="G593" s="9">
        <f t="shared" si="63"/>
        <v>80000</v>
      </c>
      <c r="H593" s="51">
        <f t="shared" si="64"/>
        <v>750</v>
      </c>
      <c r="I593" s="51">
        <f>+F593*0.15</f>
        <v>750</v>
      </c>
      <c r="J593" s="128">
        <f t="shared" si="65"/>
        <v>1.2264150943396226</v>
      </c>
      <c r="K593" s="53">
        <f t="shared" si="66"/>
        <v>19.622641509433961</v>
      </c>
      <c r="L593" s="52">
        <f>J593*E593</f>
        <v>19.622641509433961</v>
      </c>
      <c r="M593" s="245" t="s">
        <v>17</v>
      </c>
    </row>
    <row r="594" spans="1:13">
      <c r="A594" s="218" t="s">
        <v>509</v>
      </c>
      <c r="B594" s="95" t="s">
        <v>510</v>
      </c>
      <c r="C594" s="26" t="s">
        <v>511</v>
      </c>
      <c r="D594" s="25" t="s">
        <v>326</v>
      </c>
      <c r="E594" s="49">
        <v>24</v>
      </c>
      <c r="F594" s="48">
        <v>5000</v>
      </c>
      <c r="G594" s="9">
        <f t="shared" si="63"/>
        <v>120000</v>
      </c>
      <c r="H594" s="51">
        <f t="shared" si="64"/>
        <v>750</v>
      </c>
      <c r="I594" s="51">
        <f t="shared" ref="I594:I599" si="67">+F594*0.2</f>
        <v>1000</v>
      </c>
      <c r="J594" s="128">
        <f t="shared" si="65"/>
        <v>1.2735849056603774</v>
      </c>
      <c r="K594" s="53">
        <f t="shared" si="66"/>
        <v>30.566037735849058</v>
      </c>
      <c r="L594" s="52">
        <f>J594*E594</f>
        <v>30.566037735849058</v>
      </c>
      <c r="M594" s="245" t="s">
        <v>17</v>
      </c>
    </row>
    <row r="595" spans="1:13">
      <c r="A595" s="280">
        <v>3.12</v>
      </c>
      <c r="B595" s="13" t="s">
        <v>512</v>
      </c>
      <c r="C595" s="146" t="s">
        <v>513</v>
      </c>
      <c r="D595" s="222"/>
      <c r="E595" s="227"/>
      <c r="F595" s="236"/>
      <c r="G595" s="236"/>
      <c r="H595" s="239"/>
      <c r="I595" s="206">
        <f t="shared" si="67"/>
        <v>0</v>
      </c>
      <c r="J595" s="84"/>
      <c r="K595" s="241"/>
      <c r="L595" s="219"/>
      <c r="M595" s="245" t="s">
        <v>20</v>
      </c>
    </row>
    <row r="596" spans="1:13">
      <c r="A596" s="281">
        <v>3.12</v>
      </c>
      <c r="B596" s="13" t="s">
        <v>512</v>
      </c>
      <c r="C596" s="6" t="s">
        <v>513</v>
      </c>
      <c r="D596" s="223"/>
      <c r="E596" s="226"/>
      <c r="F596" s="223"/>
      <c r="G596" s="2"/>
      <c r="H596" s="51">
        <f>+F596*0.15</f>
        <v>0</v>
      </c>
      <c r="I596" s="51">
        <f t="shared" si="67"/>
        <v>0</v>
      </c>
      <c r="J596" s="52"/>
      <c r="K596" s="52"/>
      <c r="L596" s="219"/>
      <c r="M596" s="245" t="s">
        <v>89</v>
      </c>
    </row>
    <row r="597" spans="1:13">
      <c r="A597" s="280">
        <v>3.12</v>
      </c>
      <c r="B597" s="13" t="s">
        <v>512</v>
      </c>
      <c r="C597" s="6" t="s">
        <v>513</v>
      </c>
      <c r="D597" s="223"/>
      <c r="E597" s="226"/>
      <c r="F597" s="235"/>
      <c r="G597" s="2"/>
      <c r="H597" s="51"/>
      <c r="I597" s="51">
        <f t="shared" si="67"/>
        <v>0</v>
      </c>
      <c r="J597" s="241"/>
      <c r="K597" s="52"/>
      <c r="L597" s="219"/>
      <c r="M597" s="245" t="s">
        <v>23</v>
      </c>
    </row>
    <row r="598" spans="1:13">
      <c r="A598" s="151">
        <v>3.12</v>
      </c>
      <c r="B598" s="13" t="s">
        <v>512</v>
      </c>
      <c r="C598" s="6" t="s">
        <v>513</v>
      </c>
      <c r="D598" s="48"/>
      <c r="E598" s="49"/>
      <c r="F598" s="48"/>
      <c r="G598" s="9"/>
      <c r="H598" s="69"/>
      <c r="I598" s="69">
        <f t="shared" si="67"/>
        <v>0</v>
      </c>
      <c r="J598" s="54"/>
      <c r="K598" s="73"/>
      <c r="L598" s="54"/>
      <c r="M598" s="245" t="s">
        <v>30</v>
      </c>
    </row>
    <row r="599" spans="1:13">
      <c r="A599" s="280">
        <v>3.12</v>
      </c>
      <c r="B599" s="13" t="s">
        <v>512</v>
      </c>
      <c r="C599" s="6" t="s">
        <v>513</v>
      </c>
      <c r="D599" s="104"/>
      <c r="E599" s="226"/>
      <c r="F599" s="223"/>
      <c r="G599" s="2"/>
      <c r="H599" s="238">
        <f>+F599*0.15</f>
        <v>0</v>
      </c>
      <c r="I599" s="51">
        <f t="shared" si="67"/>
        <v>0</v>
      </c>
      <c r="J599" s="52"/>
      <c r="K599" s="53"/>
      <c r="L599" s="52"/>
      <c r="M599" s="245" t="s">
        <v>93</v>
      </c>
    </row>
    <row r="600" spans="1:13">
      <c r="A600" s="280">
        <v>3.12</v>
      </c>
      <c r="B600" s="13" t="s">
        <v>512</v>
      </c>
      <c r="C600" s="6" t="s">
        <v>513</v>
      </c>
      <c r="D600" s="223"/>
      <c r="E600" s="226"/>
      <c r="F600" s="223"/>
      <c r="G600" s="2"/>
      <c r="H600" s="238">
        <f>+F600*0.15</f>
        <v>0</v>
      </c>
      <c r="I600" s="51">
        <f>+F600*0.15</f>
        <v>0</v>
      </c>
      <c r="J600" s="52"/>
      <c r="K600" s="52"/>
      <c r="L600" s="219"/>
      <c r="M600" s="245" t="s">
        <v>87</v>
      </c>
    </row>
    <row r="601" spans="1:13">
      <c r="A601" s="280">
        <v>3.12</v>
      </c>
      <c r="B601" s="13" t="s">
        <v>512</v>
      </c>
      <c r="C601" s="6" t="s">
        <v>513</v>
      </c>
      <c r="D601" s="223"/>
      <c r="E601" s="226"/>
      <c r="F601" s="223"/>
      <c r="G601" s="2"/>
      <c r="H601" s="238"/>
      <c r="I601" s="51">
        <f>+F601*0.2</f>
        <v>0</v>
      </c>
      <c r="J601" s="128"/>
      <c r="K601" s="53"/>
      <c r="L601" s="52"/>
      <c r="M601" s="245" t="s">
        <v>15</v>
      </c>
    </row>
    <row r="602" spans="1:13">
      <c r="A602" s="151">
        <v>3.12</v>
      </c>
      <c r="B602" s="13" t="s">
        <v>512</v>
      </c>
      <c r="C602" s="6" t="s">
        <v>513</v>
      </c>
      <c r="D602" s="48"/>
      <c r="E602" s="49"/>
      <c r="F602" s="48"/>
      <c r="G602" s="9">
        <f>F602*E602</f>
        <v>0</v>
      </c>
      <c r="H602" s="51"/>
      <c r="I602" s="51">
        <f>+F602*0.15</f>
        <v>0</v>
      </c>
      <c r="J602" s="128"/>
      <c r="K602" s="53"/>
      <c r="L602" s="52"/>
      <c r="M602" s="245" t="s">
        <v>17</v>
      </c>
    </row>
    <row r="603" spans="1:13">
      <c r="A603" s="151">
        <v>3.12</v>
      </c>
      <c r="B603" s="13" t="s">
        <v>512</v>
      </c>
      <c r="C603" s="6" t="s">
        <v>513</v>
      </c>
      <c r="D603" s="48"/>
      <c r="E603" s="49"/>
      <c r="F603" s="48"/>
      <c r="G603" s="9"/>
      <c r="H603" s="51"/>
      <c r="I603" s="51">
        <f t="shared" ref="I603:I608" si="68">+F603*0.2</f>
        <v>0</v>
      </c>
      <c r="J603" s="128"/>
      <c r="K603" s="53"/>
      <c r="L603" s="52"/>
      <c r="M603" s="245" t="s">
        <v>17</v>
      </c>
    </row>
    <row r="604" spans="1:13">
      <c r="A604" s="94" t="s">
        <v>514</v>
      </c>
      <c r="B604" s="95" t="s">
        <v>515</v>
      </c>
      <c r="C604" s="207" t="s">
        <v>516</v>
      </c>
      <c r="D604" s="207" t="s">
        <v>326</v>
      </c>
      <c r="E604" s="227">
        <v>1</v>
      </c>
      <c r="F604" s="236">
        <v>40000</v>
      </c>
      <c r="G604" s="236">
        <f t="shared" ref="G604:G613" si="69">F604*E604</f>
        <v>40000</v>
      </c>
      <c r="H604" s="239">
        <f t="shared" ref="H604:H613" si="70">+F604*0.15</f>
        <v>6000</v>
      </c>
      <c r="I604" s="206">
        <f t="shared" si="68"/>
        <v>8000</v>
      </c>
      <c r="J604" s="84">
        <f t="shared" ref="J604:J613" si="71">+(F604+H604+I604)/5300</f>
        <v>10.188679245283019</v>
      </c>
      <c r="K604" s="241">
        <f>J604*E604</f>
        <v>10.188679245283019</v>
      </c>
      <c r="L604" s="219"/>
      <c r="M604" s="245" t="s">
        <v>20</v>
      </c>
    </row>
    <row r="605" spans="1:13">
      <c r="A605" s="1" t="s">
        <v>514</v>
      </c>
      <c r="B605" s="95" t="s">
        <v>515</v>
      </c>
      <c r="C605" s="26" t="s">
        <v>516</v>
      </c>
      <c r="D605" s="26" t="s">
        <v>326</v>
      </c>
      <c r="E605" s="226">
        <v>1</v>
      </c>
      <c r="F605" s="223">
        <v>40000</v>
      </c>
      <c r="G605" s="2">
        <f t="shared" si="69"/>
        <v>40000</v>
      </c>
      <c r="H605" s="51">
        <f t="shared" si="70"/>
        <v>6000</v>
      </c>
      <c r="I605" s="51">
        <f t="shared" si="68"/>
        <v>8000</v>
      </c>
      <c r="J605" s="52">
        <f t="shared" si="71"/>
        <v>10.188679245283019</v>
      </c>
      <c r="K605" s="52">
        <f t="shared" ref="K605:K613" si="72">+J605*E605</f>
        <v>10.188679245283019</v>
      </c>
      <c r="L605" s="219"/>
      <c r="M605" s="245" t="s">
        <v>89</v>
      </c>
    </row>
    <row r="606" spans="1:13">
      <c r="A606" s="94" t="s">
        <v>514</v>
      </c>
      <c r="B606" s="95" t="s">
        <v>515</v>
      </c>
      <c r="C606" s="26" t="s">
        <v>516</v>
      </c>
      <c r="D606" s="26" t="s">
        <v>326</v>
      </c>
      <c r="E606" s="226">
        <v>1</v>
      </c>
      <c r="F606" s="235">
        <v>40000</v>
      </c>
      <c r="G606" s="2">
        <f t="shared" si="69"/>
        <v>40000</v>
      </c>
      <c r="H606" s="51">
        <f t="shared" si="70"/>
        <v>6000</v>
      </c>
      <c r="I606" s="51">
        <f t="shared" si="68"/>
        <v>8000</v>
      </c>
      <c r="J606" s="241">
        <f t="shared" si="71"/>
        <v>10.188679245283019</v>
      </c>
      <c r="K606" s="52">
        <f t="shared" si="72"/>
        <v>10.188679245283019</v>
      </c>
      <c r="L606" s="219"/>
      <c r="M606" s="245" t="s">
        <v>23</v>
      </c>
    </row>
    <row r="607" spans="1:13">
      <c r="A607" s="218" t="s">
        <v>514</v>
      </c>
      <c r="B607" s="95" t="s">
        <v>515</v>
      </c>
      <c r="C607" s="26" t="s">
        <v>516</v>
      </c>
      <c r="D607" s="25" t="s">
        <v>326</v>
      </c>
      <c r="E607" s="49">
        <v>1</v>
      </c>
      <c r="F607" s="48">
        <v>40000</v>
      </c>
      <c r="G607" s="9">
        <f t="shared" si="69"/>
        <v>40000</v>
      </c>
      <c r="H607" s="69">
        <f t="shared" si="70"/>
        <v>6000</v>
      </c>
      <c r="I607" s="69">
        <f t="shared" si="68"/>
        <v>8000</v>
      </c>
      <c r="J607" s="54">
        <f t="shared" si="71"/>
        <v>10.188679245283019</v>
      </c>
      <c r="K607" s="73">
        <f t="shared" si="72"/>
        <v>10.188679245283019</v>
      </c>
      <c r="L607" s="54">
        <f>+J607*E607</f>
        <v>10.188679245283019</v>
      </c>
      <c r="M607" s="245" t="s">
        <v>30</v>
      </c>
    </row>
    <row r="608" spans="1:13">
      <c r="A608" s="94" t="s">
        <v>514</v>
      </c>
      <c r="B608" s="95" t="s">
        <v>515</v>
      </c>
      <c r="C608" s="26" t="s">
        <v>516</v>
      </c>
      <c r="D608" s="104" t="s">
        <v>326</v>
      </c>
      <c r="E608" s="226">
        <v>1</v>
      </c>
      <c r="F608" s="223">
        <v>40000</v>
      </c>
      <c r="G608" s="2">
        <f t="shared" si="69"/>
        <v>40000</v>
      </c>
      <c r="H608" s="238">
        <f t="shared" si="70"/>
        <v>6000</v>
      </c>
      <c r="I608" s="51">
        <f t="shared" si="68"/>
        <v>8000</v>
      </c>
      <c r="J608" s="52">
        <f t="shared" si="71"/>
        <v>10.188679245283019</v>
      </c>
      <c r="K608" s="53">
        <f t="shared" si="72"/>
        <v>10.188679245283019</v>
      </c>
      <c r="L608" s="52">
        <f>J608*E608</f>
        <v>10.188679245283019</v>
      </c>
      <c r="M608" s="245" t="s">
        <v>93</v>
      </c>
    </row>
    <row r="609" spans="1:13">
      <c r="A609" s="94" t="s">
        <v>514</v>
      </c>
      <c r="B609" s="95" t="s">
        <v>515</v>
      </c>
      <c r="C609" s="26" t="s">
        <v>516</v>
      </c>
      <c r="D609" s="26" t="s">
        <v>326</v>
      </c>
      <c r="E609" s="226">
        <v>1</v>
      </c>
      <c r="F609" s="223">
        <v>40000</v>
      </c>
      <c r="G609" s="2">
        <f t="shared" si="69"/>
        <v>40000</v>
      </c>
      <c r="H609" s="238">
        <f t="shared" si="70"/>
        <v>6000</v>
      </c>
      <c r="I609" s="51">
        <f>+F609*0.15</f>
        <v>6000</v>
      </c>
      <c r="J609" s="52">
        <f t="shared" si="71"/>
        <v>9.8113207547169807</v>
      </c>
      <c r="K609" s="52">
        <f t="shared" si="72"/>
        <v>9.8113207547169807</v>
      </c>
      <c r="L609" s="219"/>
      <c r="M609" s="245" t="s">
        <v>87</v>
      </c>
    </row>
    <row r="610" spans="1:13">
      <c r="A610" s="94" t="s">
        <v>514</v>
      </c>
      <c r="B610" s="95" t="s">
        <v>515</v>
      </c>
      <c r="C610" s="26" t="s">
        <v>516</v>
      </c>
      <c r="D610" s="26" t="s">
        <v>326</v>
      </c>
      <c r="E610" s="226">
        <v>1</v>
      </c>
      <c r="F610" s="223">
        <v>40000</v>
      </c>
      <c r="G610" s="2">
        <f t="shared" si="69"/>
        <v>40000</v>
      </c>
      <c r="H610" s="238">
        <f t="shared" si="70"/>
        <v>6000</v>
      </c>
      <c r="I610" s="51">
        <f>+F610*0.2</f>
        <v>8000</v>
      </c>
      <c r="J610" s="128">
        <f t="shared" si="71"/>
        <v>10.188679245283019</v>
      </c>
      <c r="K610" s="53">
        <f t="shared" si="72"/>
        <v>10.188679245283019</v>
      </c>
      <c r="L610" s="52">
        <f>E610*J610</f>
        <v>10.188679245283019</v>
      </c>
      <c r="M610" s="245" t="s">
        <v>15</v>
      </c>
    </row>
    <row r="611" spans="1:13">
      <c r="A611" s="218" t="s">
        <v>514</v>
      </c>
      <c r="B611" s="95" t="s">
        <v>515</v>
      </c>
      <c r="C611" s="26" t="s">
        <v>516</v>
      </c>
      <c r="D611" s="25" t="s">
        <v>326</v>
      </c>
      <c r="E611" s="49">
        <v>1</v>
      </c>
      <c r="F611" s="48">
        <v>40000</v>
      </c>
      <c r="G611" s="9">
        <f t="shared" si="69"/>
        <v>40000</v>
      </c>
      <c r="H611" s="51">
        <f t="shared" si="70"/>
        <v>6000</v>
      </c>
      <c r="I611" s="51">
        <f>+F611*0.15</f>
        <v>6000</v>
      </c>
      <c r="J611" s="128">
        <f t="shared" si="71"/>
        <v>9.8113207547169807</v>
      </c>
      <c r="K611" s="53">
        <f t="shared" si="72"/>
        <v>9.8113207547169807</v>
      </c>
      <c r="L611" s="52">
        <f>J611*E611</f>
        <v>9.8113207547169807</v>
      </c>
      <c r="M611" s="245" t="s">
        <v>17</v>
      </c>
    </row>
    <row r="612" spans="1:13">
      <c r="A612" s="218" t="s">
        <v>514</v>
      </c>
      <c r="B612" s="95" t="s">
        <v>515</v>
      </c>
      <c r="C612" s="26" t="s">
        <v>516</v>
      </c>
      <c r="D612" s="25" t="s">
        <v>326</v>
      </c>
      <c r="E612" s="49">
        <v>2</v>
      </c>
      <c r="F612" s="48">
        <v>40000</v>
      </c>
      <c r="G612" s="9">
        <f t="shared" si="69"/>
        <v>80000</v>
      </c>
      <c r="H612" s="51">
        <f t="shared" si="70"/>
        <v>6000</v>
      </c>
      <c r="I612" s="51">
        <f t="shared" ref="I612:I618" si="73">+F612*0.2</f>
        <v>8000</v>
      </c>
      <c r="J612" s="128">
        <f t="shared" si="71"/>
        <v>10.188679245283019</v>
      </c>
      <c r="K612" s="53">
        <f t="shared" si="72"/>
        <v>20.377358490566039</v>
      </c>
      <c r="L612" s="52">
        <f>J612*E612</f>
        <v>20.377358490566039</v>
      </c>
      <c r="M612" s="245" t="s">
        <v>17</v>
      </c>
    </row>
    <row r="613" spans="1:13">
      <c r="A613" s="94" t="s">
        <v>517</v>
      </c>
      <c r="B613" s="95" t="s">
        <v>518</v>
      </c>
      <c r="C613" s="26" t="s">
        <v>519</v>
      </c>
      <c r="D613" s="26" t="s">
        <v>326</v>
      </c>
      <c r="E613" s="226">
        <v>12</v>
      </c>
      <c r="F613" s="235">
        <v>10000</v>
      </c>
      <c r="G613" s="2">
        <f t="shared" si="69"/>
        <v>120000</v>
      </c>
      <c r="H613" s="51">
        <f t="shared" si="70"/>
        <v>1500</v>
      </c>
      <c r="I613" s="51">
        <f t="shared" si="73"/>
        <v>2000</v>
      </c>
      <c r="J613" s="241">
        <f t="shared" si="71"/>
        <v>2.5471698113207548</v>
      </c>
      <c r="K613" s="52">
        <f t="shared" si="72"/>
        <v>30.566037735849058</v>
      </c>
      <c r="L613" s="219"/>
      <c r="M613" s="245" t="s">
        <v>23</v>
      </c>
    </row>
    <row r="614" spans="1:13">
      <c r="A614" s="280">
        <v>3.8</v>
      </c>
      <c r="B614" s="13" t="s">
        <v>520</v>
      </c>
      <c r="C614" s="146" t="s">
        <v>521</v>
      </c>
      <c r="D614" s="207" t="s">
        <v>28</v>
      </c>
      <c r="E614" s="227"/>
      <c r="F614" s="236"/>
      <c r="G614" s="236"/>
      <c r="H614" s="239"/>
      <c r="I614" s="206">
        <f t="shared" si="73"/>
        <v>0</v>
      </c>
      <c r="J614" s="84"/>
      <c r="K614" s="241"/>
      <c r="L614" s="219"/>
      <c r="M614" s="245" t="s">
        <v>20</v>
      </c>
    </row>
    <row r="615" spans="1:13">
      <c r="A615" s="281">
        <v>3.8</v>
      </c>
      <c r="B615" s="13" t="s">
        <v>520</v>
      </c>
      <c r="C615" s="6" t="s">
        <v>521</v>
      </c>
      <c r="D615" s="26" t="s">
        <v>28</v>
      </c>
      <c r="E615" s="226"/>
      <c r="F615" s="223"/>
      <c r="G615" s="2"/>
      <c r="H615" s="51">
        <f>+F615*0.15</f>
        <v>0</v>
      </c>
      <c r="I615" s="51">
        <f t="shared" si="73"/>
        <v>0</v>
      </c>
      <c r="J615" s="52"/>
      <c r="K615" s="52"/>
      <c r="L615" s="219"/>
      <c r="M615" s="245" t="s">
        <v>89</v>
      </c>
    </row>
    <row r="616" spans="1:13">
      <c r="A616" s="280">
        <v>3.8</v>
      </c>
      <c r="B616" s="13" t="s">
        <v>520</v>
      </c>
      <c r="C616" s="6" t="s">
        <v>521</v>
      </c>
      <c r="D616" s="26" t="s">
        <v>28</v>
      </c>
      <c r="E616" s="226"/>
      <c r="F616" s="235"/>
      <c r="G616" s="2"/>
      <c r="H616" s="51"/>
      <c r="I616" s="51">
        <f t="shared" si="73"/>
        <v>0</v>
      </c>
      <c r="J616" s="241"/>
      <c r="K616" s="52">
        <f>+J616*E616</f>
        <v>0</v>
      </c>
      <c r="L616" s="219"/>
      <c r="M616" s="245" t="s">
        <v>23</v>
      </c>
    </row>
    <row r="617" spans="1:13">
      <c r="A617" s="151">
        <v>3.8</v>
      </c>
      <c r="B617" s="13" t="s">
        <v>520</v>
      </c>
      <c r="C617" s="6" t="s">
        <v>521</v>
      </c>
      <c r="D617" s="25" t="s">
        <v>28</v>
      </c>
      <c r="E617" s="49"/>
      <c r="F617" s="48"/>
      <c r="G617" s="9"/>
      <c r="H617" s="69"/>
      <c r="I617" s="69">
        <f t="shared" si="73"/>
        <v>0</v>
      </c>
      <c r="J617" s="54"/>
      <c r="K617" s="73"/>
      <c r="L617" s="54"/>
      <c r="M617" s="245" t="s">
        <v>30</v>
      </c>
    </row>
    <row r="618" spans="1:13">
      <c r="A618" s="280">
        <v>3.8</v>
      </c>
      <c r="B618" s="13" t="s">
        <v>520</v>
      </c>
      <c r="C618" s="6" t="s">
        <v>521</v>
      </c>
      <c r="D618" s="104" t="s">
        <v>28</v>
      </c>
      <c r="E618" s="226"/>
      <c r="F618" s="223"/>
      <c r="G618" s="2"/>
      <c r="H618" s="238">
        <f>+F618*0.15</f>
        <v>0</v>
      </c>
      <c r="I618" s="51">
        <f t="shared" si="73"/>
        <v>0</v>
      </c>
      <c r="J618" s="52"/>
      <c r="K618" s="53"/>
      <c r="L618" s="52"/>
      <c r="M618" s="245" t="s">
        <v>93</v>
      </c>
    </row>
    <row r="619" spans="1:13">
      <c r="A619" s="280">
        <v>3.8</v>
      </c>
      <c r="B619" s="13" t="s">
        <v>520</v>
      </c>
      <c r="C619" s="6" t="s">
        <v>521</v>
      </c>
      <c r="D619" s="26" t="s">
        <v>28</v>
      </c>
      <c r="E619" s="226"/>
      <c r="F619" s="223"/>
      <c r="G619" s="2"/>
      <c r="H619" s="238">
        <f>+F619*0.15</f>
        <v>0</v>
      </c>
      <c r="I619" s="51">
        <f>+F619*0.15</f>
        <v>0</v>
      </c>
      <c r="J619" s="52"/>
      <c r="K619" s="52"/>
      <c r="L619" s="219"/>
      <c r="M619" s="245" t="s">
        <v>87</v>
      </c>
    </row>
    <row r="620" spans="1:13">
      <c r="A620" s="280">
        <v>3.8</v>
      </c>
      <c r="B620" s="13" t="s">
        <v>520</v>
      </c>
      <c r="C620" s="6" t="s">
        <v>521</v>
      </c>
      <c r="D620" s="26" t="s">
        <v>28</v>
      </c>
      <c r="E620" s="226"/>
      <c r="F620" s="223"/>
      <c r="G620" s="2"/>
      <c r="H620" s="238"/>
      <c r="I620" s="51">
        <f>+F620*0.2</f>
        <v>0</v>
      </c>
      <c r="J620" s="128"/>
      <c r="K620" s="53"/>
      <c r="L620" s="52"/>
      <c r="M620" s="245" t="s">
        <v>15</v>
      </c>
    </row>
    <row r="621" spans="1:13">
      <c r="A621" s="151">
        <v>3.8</v>
      </c>
      <c r="B621" s="13" t="s">
        <v>520</v>
      </c>
      <c r="C621" s="6" t="s">
        <v>521</v>
      </c>
      <c r="D621" s="25" t="s">
        <v>28</v>
      </c>
      <c r="E621" s="49"/>
      <c r="F621" s="48"/>
      <c r="G621" s="9">
        <f>F621*E621</f>
        <v>0</v>
      </c>
      <c r="H621" s="51"/>
      <c r="I621" s="51">
        <f>+F621*0.15</f>
        <v>0</v>
      </c>
      <c r="J621" s="128"/>
      <c r="K621" s="53"/>
      <c r="L621" s="52"/>
      <c r="M621" s="245" t="s">
        <v>17</v>
      </c>
    </row>
    <row r="622" spans="1:13">
      <c r="A622" s="151">
        <v>3.8</v>
      </c>
      <c r="B622" s="13" t="s">
        <v>520</v>
      </c>
      <c r="C622" s="6" t="s">
        <v>521</v>
      </c>
      <c r="D622" s="25" t="s">
        <v>28</v>
      </c>
      <c r="E622" s="49"/>
      <c r="F622" s="48"/>
      <c r="G622" s="9"/>
      <c r="H622" s="51"/>
      <c r="I622" s="51">
        <f t="shared" ref="I622:I627" si="74">+F622*0.2</f>
        <v>0</v>
      </c>
      <c r="J622" s="128"/>
      <c r="K622" s="53"/>
      <c r="L622" s="52"/>
      <c r="M622" s="245" t="s">
        <v>17</v>
      </c>
    </row>
    <row r="623" spans="1:13">
      <c r="A623" s="94" t="s">
        <v>501</v>
      </c>
      <c r="B623" s="95" t="s">
        <v>522</v>
      </c>
      <c r="C623" s="207" t="s">
        <v>523</v>
      </c>
      <c r="D623" s="207" t="s">
        <v>326</v>
      </c>
      <c r="E623" s="227">
        <v>4</v>
      </c>
      <c r="F623" s="236">
        <v>5000</v>
      </c>
      <c r="G623" s="236">
        <f t="shared" ref="G623:G649" si="75">F623*E623</f>
        <v>20000</v>
      </c>
      <c r="H623" s="239">
        <f t="shared" ref="H623:H649" si="76">+F623*0.15</f>
        <v>750</v>
      </c>
      <c r="I623" s="206">
        <f t="shared" si="74"/>
        <v>1000</v>
      </c>
      <c r="J623" s="84">
        <f t="shared" ref="J623:J637" si="77">+(F623+H623+I623)/5300</f>
        <v>1.2735849056603774</v>
      </c>
      <c r="K623" s="241">
        <f>J623*E623</f>
        <v>5.0943396226415096</v>
      </c>
      <c r="L623" s="219"/>
      <c r="M623" s="245" t="s">
        <v>20</v>
      </c>
    </row>
    <row r="624" spans="1:13">
      <c r="A624" s="1" t="s">
        <v>501</v>
      </c>
      <c r="B624" s="95" t="s">
        <v>522</v>
      </c>
      <c r="C624" s="26" t="s">
        <v>523</v>
      </c>
      <c r="D624" s="26" t="s">
        <v>326</v>
      </c>
      <c r="E624" s="226">
        <v>4</v>
      </c>
      <c r="F624" s="223">
        <v>5000</v>
      </c>
      <c r="G624" s="2">
        <f t="shared" si="75"/>
        <v>20000</v>
      </c>
      <c r="H624" s="51">
        <f t="shared" si="76"/>
        <v>750</v>
      </c>
      <c r="I624" s="51">
        <f t="shared" si="74"/>
        <v>1000</v>
      </c>
      <c r="J624" s="52">
        <f t="shared" si="77"/>
        <v>1.2735849056603774</v>
      </c>
      <c r="K624" s="52">
        <f t="shared" ref="K624:K635" si="78">+J624*E624</f>
        <v>5.0943396226415096</v>
      </c>
      <c r="L624" s="219"/>
      <c r="M624" s="245" t="s">
        <v>89</v>
      </c>
    </row>
    <row r="625" spans="1:13">
      <c r="A625" s="94" t="s">
        <v>501</v>
      </c>
      <c r="B625" s="95" t="s">
        <v>522</v>
      </c>
      <c r="C625" s="26" t="s">
        <v>523</v>
      </c>
      <c r="D625" s="26" t="s">
        <v>326</v>
      </c>
      <c r="E625" s="226">
        <v>10</v>
      </c>
      <c r="F625" s="235">
        <v>7000</v>
      </c>
      <c r="G625" s="2">
        <f t="shared" si="75"/>
        <v>70000</v>
      </c>
      <c r="H625" s="51">
        <f t="shared" si="76"/>
        <v>1050</v>
      </c>
      <c r="I625" s="51">
        <f t="shared" si="74"/>
        <v>1400</v>
      </c>
      <c r="J625" s="241">
        <f t="shared" si="77"/>
        <v>1.7830188679245282</v>
      </c>
      <c r="K625" s="52">
        <f t="shared" si="78"/>
        <v>17.830188679245282</v>
      </c>
      <c r="L625" s="219"/>
      <c r="M625" s="245" t="s">
        <v>23</v>
      </c>
    </row>
    <row r="626" spans="1:13">
      <c r="A626" s="218" t="s">
        <v>501</v>
      </c>
      <c r="B626" s="95" t="s">
        <v>522</v>
      </c>
      <c r="C626" s="26" t="s">
        <v>523</v>
      </c>
      <c r="D626" s="25" t="s">
        <v>326</v>
      </c>
      <c r="E626" s="49">
        <v>4</v>
      </c>
      <c r="F626" s="48">
        <v>5000</v>
      </c>
      <c r="G626" s="9">
        <f t="shared" si="75"/>
        <v>20000</v>
      </c>
      <c r="H626" s="69">
        <f t="shared" si="76"/>
        <v>750</v>
      </c>
      <c r="I626" s="69">
        <f t="shared" si="74"/>
        <v>1000</v>
      </c>
      <c r="J626" s="54">
        <f t="shared" si="77"/>
        <v>1.2735849056603774</v>
      </c>
      <c r="K626" s="73">
        <f t="shared" si="78"/>
        <v>5.0943396226415096</v>
      </c>
      <c r="L626" s="54">
        <f>+J626*E626</f>
        <v>5.0943396226415096</v>
      </c>
      <c r="M626" s="245" t="s">
        <v>30</v>
      </c>
    </row>
    <row r="627" spans="1:13">
      <c r="A627" s="94" t="s">
        <v>501</v>
      </c>
      <c r="B627" s="95" t="s">
        <v>522</v>
      </c>
      <c r="C627" s="26" t="s">
        <v>523</v>
      </c>
      <c r="D627" s="104" t="s">
        <v>326</v>
      </c>
      <c r="E627" s="226">
        <v>4</v>
      </c>
      <c r="F627" s="223">
        <v>5000</v>
      </c>
      <c r="G627" s="2">
        <f t="shared" si="75"/>
        <v>20000</v>
      </c>
      <c r="H627" s="238">
        <f t="shared" si="76"/>
        <v>750</v>
      </c>
      <c r="I627" s="51">
        <f t="shared" si="74"/>
        <v>1000</v>
      </c>
      <c r="J627" s="52">
        <f t="shared" si="77"/>
        <v>1.2735849056603774</v>
      </c>
      <c r="K627" s="53">
        <f t="shared" si="78"/>
        <v>5.0943396226415096</v>
      </c>
      <c r="L627" s="52">
        <f>J627*E627</f>
        <v>5.0943396226415096</v>
      </c>
      <c r="M627" s="245" t="s">
        <v>93</v>
      </c>
    </row>
    <row r="628" spans="1:13">
      <c r="A628" s="94" t="s">
        <v>501</v>
      </c>
      <c r="B628" s="95" t="s">
        <v>522</v>
      </c>
      <c r="C628" s="26" t="s">
        <v>523</v>
      </c>
      <c r="D628" s="26" t="s">
        <v>326</v>
      </c>
      <c r="E628" s="226">
        <v>4</v>
      </c>
      <c r="F628" s="223">
        <v>5000</v>
      </c>
      <c r="G628" s="2">
        <f t="shared" si="75"/>
        <v>20000</v>
      </c>
      <c r="H628" s="238">
        <f t="shared" si="76"/>
        <v>750</v>
      </c>
      <c r="I628" s="51">
        <f>+F628*0.15</f>
        <v>750</v>
      </c>
      <c r="J628" s="52">
        <f t="shared" si="77"/>
        <v>1.2264150943396226</v>
      </c>
      <c r="K628" s="52">
        <f t="shared" si="78"/>
        <v>4.9056603773584904</v>
      </c>
      <c r="L628" s="219"/>
      <c r="M628" s="245" t="s">
        <v>87</v>
      </c>
    </row>
    <row r="629" spans="1:13">
      <c r="A629" s="94" t="s">
        <v>501</v>
      </c>
      <c r="B629" s="95" t="s">
        <v>522</v>
      </c>
      <c r="C629" s="26" t="s">
        <v>523</v>
      </c>
      <c r="D629" s="26" t="s">
        <v>326</v>
      </c>
      <c r="E629" s="226">
        <v>4</v>
      </c>
      <c r="F629" s="223">
        <v>5000</v>
      </c>
      <c r="G629" s="2">
        <f t="shared" si="75"/>
        <v>20000</v>
      </c>
      <c r="H629" s="238">
        <f t="shared" si="76"/>
        <v>750</v>
      </c>
      <c r="I629" s="51">
        <f>+F629*0.2</f>
        <v>1000</v>
      </c>
      <c r="J629" s="128">
        <f t="shared" si="77"/>
        <v>1.2735849056603774</v>
      </c>
      <c r="K629" s="53">
        <f t="shared" si="78"/>
        <v>5.0943396226415096</v>
      </c>
      <c r="L629" s="52">
        <f>E629*J629</f>
        <v>5.0943396226415096</v>
      </c>
      <c r="M629" s="245" t="s">
        <v>15</v>
      </c>
    </row>
    <row r="630" spans="1:13">
      <c r="A630" s="218" t="s">
        <v>501</v>
      </c>
      <c r="B630" s="95" t="s">
        <v>522</v>
      </c>
      <c r="C630" s="26" t="s">
        <v>523</v>
      </c>
      <c r="D630" s="25" t="s">
        <v>326</v>
      </c>
      <c r="E630" s="49">
        <v>4</v>
      </c>
      <c r="F630" s="48">
        <v>5000</v>
      </c>
      <c r="G630" s="9">
        <f t="shared" si="75"/>
        <v>20000</v>
      </c>
      <c r="H630" s="51">
        <f t="shared" si="76"/>
        <v>750</v>
      </c>
      <c r="I630" s="51">
        <f>+F630*0.15</f>
        <v>750</v>
      </c>
      <c r="J630" s="128">
        <f t="shared" si="77"/>
        <v>1.2264150943396226</v>
      </c>
      <c r="K630" s="53">
        <f t="shared" si="78"/>
        <v>4.9056603773584904</v>
      </c>
      <c r="L630" s="52">
        <f>J630*E630</f>
        <v>4.9056603773584904</v>
      </c>
      <c r="M630" s="245" t="s">
        <v>17</v>
      </c>
    </row>
    <row r="631" spans="1:13">
      <c r="A631" s="218" t="s">
        <v>501</v>
      </c>
      <c r="B631" s="95" t="s">
        <v>522</v>
      </c>
      <c r="C631" s="26" t="s">
        <v>523</v>
      </c>
      <c r="D631" s="25" t="s">
        <v>326</v>
      </c>
      <c r="E631" s="49">
        <v>4</v>
      </c>
      <c r="F631" s="48">
        <v>5000</v>
      </c>
      <c r="G631" s="9">
        <f t="shared" si="75"/>
        <v>20000</v>
      </c>
      <c r="H631" s="51">
        <f t="shared" si="76"/>
        <v>750</v>
      </c>
      <c r="I631" s="51">
        <f>+F631*0.2</f>
        <v>1000</v>
      </c>
      <c r="J631" s="128">
        <f t="shared" si="77"/>
        <v>1.2735849056603774</v>
      </c>
      <c r="K631" s="53">
        <f t="shared" si="78"/>
        <v>5.0943396226415096</v>
      </c>
      <c r="L631" s="52">
        <f>J631*E631</f>
        <v>5.0943396226415096</v>
      </c>
      <c r="M631" s="245" t="s">
        <v>17</v>
      </c>
    </row>
    <row r="632" spans="1:13">
      <c r="A632" s="94" t="s">
        <v>524</v>
      </c>
      <c r="B632" s="95" t="s">
        <v>525</v>
      </c>
      <c r="C632" s="207" t="s">
        <v>526</v>
      </c>
      <c r="D632" s="207" t="s">
        <v>326</v>
      </c>
      <c r="E632" s="227">
        <v>1</v>
      </c>
      <c r="F632" s="236">
        <v>8000</v>
      </c>
      <c r="G632" s="236">
        <f t="shared" si="75"/>
        <v>8000</v>
      </c>
      <c r="H632" s="239">
        <f t="shared" si="76"/>
        <v>1200</v>
      </c>
      <c r="I632" s="206">
        <f>+F632*0.2</f>
        <v>1600</v>
      </c>
      <c r="J632" s="84">
        <f t="shared" si="77"/>
        <v>2.0377358490566038</v>
      </c>
      <c r="K632" s="241">
        <f t="shared" si="78"/>
        <v>2.0377358490566038</v>
      </c>
      <c r="L632" s="219"/>
      <c r="M632" s="245" t="s">
        <v>20</v>
      </c>
    </row>
    <row r="633" spans="1:13">
      <c r="A633" s="1" t="s">
        <v>524</v>
      </c>
      <c r="B633" s="95" t="s">
        <v>525</v>
      </c>
      <c r="C633" s="26" t="s">
        <v>526</v>
      </c>
      <c r="D633" s="26" t="s">
        <v>326</v>
      </c>
      <c r="E633" s="331">
        <v>1</v>
      </c>
      <c r="F633" s="223">
        <v>8000</v>
      </c>
      <c r="G633" s="334">
        <f t="shared" si="75"/>
        <v>8000</v>
      </c>
      <c r="H633" s="51">
        <f t="shared" si="76"/>
        <v>1200</v>
      </c>
      <c r="I633" s="51">
        <f>+F633*0.2</f>
        <v>1600</v>
      </c>
      <c r="J633" s="52">
        <f t="shared" si="77"/>
        <v>2.0377358490566038</v>
      </c>
      <c r="K633" s="52">
        <f t="shared" si="78"/>
        <v>2.0377358490566038</v>
      </c>
      <c r="L633" s="219"/>
      <c r="M633" s="245" t="s">
        <v>89</v>
      </c>
    </row>
    <row r="634" spans="1:13">
      <c r="A634" s="94" t="s">
        <v>524</v>
      </c>
      <c r="B634" s="95" t="s">
        <v>525</v>
      </c>
      <c r="C634" s="26" t="s">
        <v>526</v>
      </c>
      <c r="D634" s="26" t="s">
        <v>326</v>
      </c>
      <c r="E634" s="226">
        <v>1</v>
      </c>
      <c r="F634" s="223">
        <v>8000</v>
      </c>
      <c r="G634" s="2">
        <f t="shared" si="75"/>
        <v>8000</v>
      </c>
      <c r="H634" s="238">
        <f t="shared" si="76"/>
        <v>1200</v>
      </c>
      <c r="I634" s="51">
        <f>+F634*0.15</f>
        <v>1200</v>
      </c>
      <c r="J634" s="240">
        <f t="shared" si="77"/>
        <v>1.9622641509433962</v>
      </c>
      <c r="K634" s="51">
        <f t="shared" si="78"/>
        <v>1.9622641509433962</v>
      </c>
      <c r="L634" s="240">
        <f>+E634*J634</f>
        <v>1.9622641509433962</v>
      </c>
      <c r="M634" s="245" t="s">
        <v>117</v>
      </c>
    </row>
    <row r="635" spans="1:13">
      <c r="A635" s="1" t="s">
        <v>524</v>
      </c>
      <c r="B635" s="95" t="s">
        <v>525</v>
      </c>
      <c r="C635" s="26" t="s">
        <v>526</v>
      </c>
      <c r="D635" s="26" t="s">
        <v>326</v>
      </c>
      <c r="E635" s="223">
        <v>1</v>
      </c>
      <c r="F635" s="223">
        <v>8000</v>
      </c>
      <c r="G635" s="2">
        <f t="shared" si="75"/>
        <v>8000</v>
      </c>
      <c r="H635" s="238">
        <f t="shared" si="76"/>
        <v>1200</v>
      </c>
      <c r="I635" s="51">
        <f t="shared" ref="I635:I642" si="79">+F635*0.2</f>
        <v>1600</v>
      </c>
      <c r="J635" s="52">
        <f t="shared" si="77"/>
        <v>2.0377358490566038</v>
      </c>
      <c r="K635" s="53">
        <f t="shared" si="78"/>
        <v>2.0377358490566038</v>
      </c>
      <c r="L635" s="52">
        <f>J635*E635</f>
        <v>2.0377358490566038</v>
      </c>
      <c r="M635" s="245" t="s">
        <v>118</v>
      </c>
    </row>
    <row r="636" spans="1:13">
      <c r="A636" s="94" t="s">
        <v>524</v>
      </c>
      <c r="B636" s="95" t="s">
        <v>525</v>
      </c>
      <c r="C636" s="26" t="s">
        <v>526</v>
      </c>
      <c r="D636" s="26" t="s">
        <v>326</v>
      </c>
      <c r="E636" s="226">
        <v>1</v>
      </c>
      <c r="F636" s="235">
        <v>8000</v>
      </c>
      <c r="G636" s="2">
        <f t="shared" si="75"/>
        <v>8000</v>
      </c>
      <c r="H636" s="51">
        <f t="shared" si="76"/>
        <v>1200</v>
      </c>
      <c r="I636" s="51">
        <f t="shared" si="79"/>
        <v>1600</v>
      </c>
      <c r="J636" s="84">
        <f t="shared" si="77"/>
        <v>2.0377358490566038</v>
      </c>
      <c r="K636" s="52">
        <f>J636*E636</f>
        <v>2.0377358490566038</v>
      </c>
      <c r="L636" s="219"/>
      <c r="M636" s="245" t="s">
        <v>23</v>
      </c>
    </row>
    <row r="637" spans="1:13">
      <c r="A637" s="218" t="s">
        <v>524</v>
      </c>
      <c r="B637" s="95" t="s">
        <v>525</v>
      </c>
      <c r="C637" s="26" t="s">
        <v>526</v>
      </c>
      <c r="D637" s="25" t="s">
        <v>326</v>
      </c>
      <c r="E637" s="49">
        <v>1</v>
      </c>
      <c r="F637" s="48">
        <v>8000</v>
      </c>
      <c r="G637" s="9">
        <f t="shared" si="75"/>
        <v>8000</v>
      </c>
      <c r="H637" s="51">
        <f t="shared" si="76"/>
        <v>1200</v>
      </c>
      <c r="I637" s="51">
        <f t="shared" si="79"/>
        <v>1600</v>
      </c>
      <c r="J637" s="52">
        <f t="shared" si="77"/>
        <v>2.0377358490566038</v>
      </c>
      <c r="K637" s="53">
        <f t="shared" ref="K637:K644" si="80">+J637*E637</f>
        <v>2.0377358490566038</v>
      </c>
      <c r="L637" s="54">
        <f>+J637*E637</f>
        <v>2.0377358490566038</v>
      </c>
      <c r="M637" s="245" t="s">
        <v>30</v>
      </c>
    </row>
    <row r="638" spans="1:13">
      <c r="A638" s="94" t="s">
        <v>524</v>
      </c>
      <c r="B638" s="95" t="s">
        <v>525</v>
      </c>
      <c r="C638" s="26" t="s">
        <v>526</v>
      </c>
      <c r="D638" s="104" t="s">
        <v>326</v>
      </c>
      <c r="E638" s="226">
        <v>1</v>
      </c>
      <c r="F638" s="223">
        <v>8000</v>
      </c>
      <c r="G638" s="2">
        <f t="shared" si="75"/>
        <v>8000</v>
      </c>
      <c r="H638" s="238">
        <f t="shared" si="76"/>
        <v>1200</v>
      </c>
      <c r="I638" s="51">
        <f t="shared" si="79"/>
        <v>1600</v>
      </c>
      <c r="J638" s="52">
        <f>+(H638+I638+F638)/5300</f>
        <v>2.0377358490566038</v>
      </c>
      <c r="K638" s="53">
        <f t="shared" si="80"/>
        <v>2.0377358490566038</v>
      </c>
      <c r="L638" s="52">
        <f>E638*J638</f>
        <v>2.0377358490566038</v>
      </c>
      <c r="M638" s="245" t="s">
        <v>93</v>
      </c>
    </row>
    <row r="639" spans="1:13">
      <c r="A639" s="94" t="s">
        <v>524</v>
      </c>
      <c r="B639" s="95" t="s">
        <v>525</v>
      </c>
      <c r="C639" s="26" t="s">
        <v>526</v>
      </c>
      <c r="D639" s="26" t="s">
        <v>326</v>
      </c>
      <c r="E639" s="226">
        <v>1</v>
      </c>
      <c r="F639" s="223">
        <v>8000</v>
      </c>
      <c r="G639" s="2">
        <f t="shared" si="75"/>
        <v>8000</v>
      </c>
      <c r="H639" s="238">
        <f t="shared" si="76"/>
        <v>1200</v>
      </c>
      <c r="I639" s="51">
        <f t="shared" si="79"/>
        <v>1600</v>
      </c>
      <c r="J639" s="52">
        <f t="shared" ref="J639:J646" si="81">+(F639+H639+I639)/5300</f>
        <v>2.0377358490566038</v>
      </c>
      <c r="K639" s="52">
        <f t="shared" si="80"/>
        <v>2.0377358490566038</v>
      </c>
      <c r="L639" s="219"/>
      <c r="M639" s="245" t="s">
        <v>87</v>
      </c>
    </row>
    <row r="640" spans="1:13">
      <c r="A640" s="94" t="s">
        <v>524</v>
      </c>
      <c r="B640" s="95" t="s">
        <v>525</v>
      </c>
      <c r="C640" s="26" t="s">
        <v>526</v>
      </c>
      <c r="D640" s="26" t="s">
        <v>326</v>
      </c>
      <c r="E640" s="226">
        <v>1</v>
      </c>
      <c r="F640" s="223">
        <v>8000</v>
      </c>
      <c r="G640" s="2">
        <f t="shared" si="75"/>
        <v>8000</v>
      </c>
      <c r="H640" s="238">
        <f t="shared" si="76"/>
        <v>1200</v>
      </c>
      <c r="I640" s="51">
        <f t="shared" si="79"/>
        <v>1600</v>
      </c>
      <c r="J640" s="128">
        <f t="shared" si="81"/>
        <v>2.0377358490566038</v>
      </c>
      <c r="K640" s="53">
        <f t="shared" si="80"/>
        <v>2.0377358490566038</v>
      </c>
      <c r="L640" s="52">
        <f>E640*J640</f>
        <v>2.0377358490566038</v>
      </c>
      <c r="M640" s="245" t="s">
        <v>15</v>
      </c>
    </row>
    <row r="641" spans="1:13">
      <c r="A641" s="280" t="s">
        <v>527</v>
      </c>
      <c r="B641" s="95" t="s">
        <v>528</v>
      </c>
      <c r="C641" s="207" t="s">
        <v>529</v>
      </c>
      <c r="D641" s="207" t="s">
        <v>326</v>
      </c>
      <c r="E641" s="227">
        <v>1</v>
      </c>
      <c r="F641" s="236">
        <v>12000</v>
      </c>
      <c r="G641" s="236">
        <f t="shared" si="75"/>
        <v>12000</v>
      </c>
      <c r="H641" s="239">
        <f t="shared" si="76"/>
        <v>1800</v>
      </c>
      <c r="I641" s="206">
        <f t="shared" si="79"/>
        <v>2400</v>
      </c>
      <c r="J641" s="84">
        <f t="shared" si="81"/>
        <v>3.0566037735849059</v>
      </c>
      <c r="K641" s="241">
        <f t="shared" si="80"/>
        <v>3.0566037735849059</v>
      </c>
      <c r="L641" s="219"/>
      <c r="M641" s="245" t="s">
        <v>20</v>
      </c>
    </row>
    <row r="642" spans="1:13">
      <c r="A642" s="281" t="s">
        <v>527</v>
      </c>
      <c r="B642" s="95" t="s">
        <v>528</v>
      </c>
      <c r="C642" s="26" t="s">
        <v>529</v>
      </c>
      <c r="D642" s="26" t="s">
        <v>326</v>
      </c>
      <c r="E642" s="226">
        <v>1</v>
      </c>
      <c r="F642" s="223">
        <v>12000</v>
      </c>
      <c r="G642" s="2">
        <f t="shared" si="75"/>
        <v>12000</v>
      </c>
      <c r="H642" s="51">
        <f t="shared" si="76"/>
        <v>1800</v>
      </c>
      <c r="I642" s="51">
        <f t="shared" si="79"/>
        <v>2400</v>
      </c>
      <c r="J642" s="52">
        <f t="shared" si="81"/>
        <v>3.0566037735849059</v>
      </c>
      <c r="K642" s="52">
        <f t="shared" si="80"/>
        <v>3.0566037735849059</v>
      </c>
      <c r="L642" s="219"/>
      <c r="M642" s="245" t="s">
        <v>89</v>
      </c>
    </row>
    <row r="643" spans="1:13">
      <c r="A643" s="280" t="s">
        <v>527</v>
      </c>
      <c r="B643" s="95" t="s">
        <v>528</v>
      </c>
      <c r="C643" s="26" t="s">
        <v>529</v>
      </c>
      <c r="D643" s="26" t="s">
        <v>326</v>
      </c>
      <c r="E643" s="226">
        <v>1</v>
      </c>
      <c r="F643" s="223">
        <v>12000</v>
      </c>
      <c r="G643" s="2">
        <f t="shared" si="75"/>
        <v>12000</v>
      </c>
      <c r="H643" s="238">
        <f t="shared" si="76"/>
        <v>1800</v>
      </c>
      <c r="I643" s="51">
        <f>+F643*0.15</f>
        <v>1800</v>
      </c>
      <c r="J643" s="240">
        <f t="shared" si="81"/>
        <v>2.9433962264150941</v>
      </c>
      <c r="K643" s="51">
        <f t="shared" si="80"/>
        <v>2.9433962264150941</v>
      </c>
      <c r="L643" s="240">
        <f>+E643*J643</f>
        <v>2.9433962264150941</v>
      </c>
      <c r="M643" s="245" t="s">
        <v>117</v>
      </c>
    </row>
    <row r="644" spans="1:13">
      <c r="A644" s="281" t="s">
        <v>527</v>
      </c>
      <c r="B644" s="95" t="s">
        <v>528</v>
      </c>
      <c r="C644" s="26" t="s">
        <v>529</v>
      </c>
      <c r="D644" s="26" t="s">
        <v>326</v>
      </c>
      <c r="E644" s="223">
        <v>1</v>
      </c>
      <c r="F644" s="223">
        <v>12000</v>
      </c>
      <c r="G644" s="2">
        <f t="shared" si="75"/>
        <v>12000</v>
      </c>
      <c r="H644" s="238">
        <f t="shared" si="76"/>
        <v>1800</v>
      </c>
      <c r="I644" s="51">
        <f t="shared" ref="I644:I654" si="82">+F644*0.2</f>
        <v>2400</v>
      </c>
      <c r="J644" s="52">
        <f t="shared" si="81"/>
        <v>3.0566037735849059</v>
      </c>
      <c r="K644" s="53">
        <f t="shared" si="80"/>
        <v>3.0566037735849059</v>
      </c>
      <c r="L644" s="52">
        <f>J644*E644</f>
        <v>3.0566037735849059</v>
      </c>
      <c r="M644" s="245" t="s">
        <v>118</v>
      </c>
    </row>
    <row r="645" spans="1:13">
      <c r="A645" s="280" t="s">
        <v>527</v>
      </c>
      <c r="B645" s="95" t="s">
        <v>528</v>
      </c>
      <c r="C645" s="26" t="s">
        <v>529</v>
      </c>
      <c r="D645" s="26" t="s">
        <v>326</v>
      </c>
      <c r="E645" s="226">
        <v>1</v>
      </c>
      <c r="F645" s="235">
        <v>12000</v>
      </c>
      <c r="G645" s="2">
        <f t="shared" si="75"/>
        <v>12000</v>
      </c>
      <c r="H645" s="51">
        <f t="shared" si="76"/>
        <v>1800</v>
      </c>
      <c r="I645" s="51">
        <f t="shared" si="82"/>
        <v>2400</v>
      </c>
      <c r="J645" s="84">
        <f t="shared" si="81"/>
        <v>3.0566037735849059</v>
      </c>
      <c r="K645" s="52">
        <f>J645*E645</f>
        <v>3.0566037735849059</v>
      </c>
      <c r="L645" s="219"/>
      <c r="M645" s="245" t="s">
        <v>23</v>
      </c>
    </row>
    <row r="646" spans="1:13">
      <c r="A646" s="151" t="s">
        <v>527</v>
      </c>
      <c r="B646" s="95" t="s">
        <v>528</v>
      </c>
      <c r="C646" s="26" t="s">
        <v>529</v>
      </c>
      <c r="D646" s="25" t="s">
        <v>326</v>
      </c>
      <c r="E646" s="49">
        <v>1</v>
      </c>
      <c r="F646" s="48">
        <v>12000</v>
      </c>
      <c r="G646" s="9">
        <f t="shared" si="75"/>
        <v>12000</v>
      </c>
      <c r="H646" s="51">
        <f t="shared" si="76"/>
        <v>1800</v>
      </c>
      <c r="I646" s="51">
        <f t="shared" si="82"/>
        <v>2400</v>
      </c>
      <c r="J646" s="52">
        <f t="shared" si="81"/>
        <v>3.0566037735849059</v>
      </c>
      <c r="K646" s="53">
        <f>+J646*E646</f>
        <v>3.0566037735849059</v>
      </c>
      <c r="L646" s="54">
        <f>+J646*E646</f>
        <v>3.0566037735849059</v>
      </c>
      <c r="M646" s="245" t="s">
        <v>30</v>
      </c>
    </row>
    <row r="647" spans="1:13">
      <c r="A647" s="280" t="s">
        <v>527</v>
      </c>
      <c r="B647" s="95" t="s">
        <v>528</v>
      </c>
      <c r="C647" s="26" t="s">
        <v>529</v>
      </c>
      <c r="D647" s="104" t="s">
        <v>326</v>
      </c>
      <c r="E647" s="226">
        <v>1</v>
      </c>
      <c r="F647" s="223">
        <v>12000</v>
      </c>
      <c r="G647" s="2">
        <f t="shared" si="75"/>
        <v>12000</v>
      </c>
      <c r="H647" s="238">
        <f t="shared" si="76"/>
        <v>1800</v>
      </c>
      <c r="I647" s="51">
        <f t="shared" si="82"/>
        <v>2400</v>
      </c>
      <c r="J647" s="52">
        <f>+(H647+I647+F647)/5300</f>
        <v>3.0566037735849059</v>
      </c>
      <c r="K647" s="53">
        <f>+J647*E647</f>
        <v>3.0566037735849059</v>
      </c>
      <c r="L647" s="52">
        <f>E647*J647</f>
        <v>3.0566037735849059</v>
      </c>
      <c r="M647" s="245" t="s">
        <v>93</v>
      </c>
    </row>
    <row r="648" spans="1:13">
      <c r="A648" s="280" t="s">
        <v>527</v>
      </c>
      <c r="B648" s="95" t="s">
        <v>528</v>
      </c>
      <c r="C648" s="26" t="s">
        <v>529</v>
      </c>
      <c r="D648" s="26" t="s">
        <v>326</v>
      </c>
      <c r="E648" s="226">
        <v>1</v>
      </c>
      <c r="F648" s="223">
        <v>12000</v>
      </c>
      <c r="G648" s="2">
        <f t="shared" si="75"/>
        <v>12000</v>
      </c>
      <c r="H648" s="238">
        <f t="shared" si="76"/>
        <v>1800</v>
      </c>
      <c r="I648" s="51">
        <f t="shared" si="82"/>
        <v>2400</v>
      </c>
      <c r="J648" s="52">
        <f>+(F648+H648+I648)/5300</f>
        <v>3.0566037735849059</v>
      </c>
      <c r="K648" s="52">
        <f>+J648*E648</f>
        <v>3.0566037735849059</v>
      </c>
      <c r="L648" s="219"/>
      <c r="M648" s="245" t="s">
        <v>87</v>
      </c>
    </row>
    <row r="649" spans="1:13">
      <c r="A649" s="280" t="s">
        <v>527</v>
      </c>
      <c r="B649" s="95" t="s">
        <v>528</v>
      </c>
      <c r="C649" s="26" t="s">
        <v>529</v>
      </c>
      <c r="D649" s="26" t="s">
        <v>326</v>
      </c>
      <c r="E649" s="226">
        <v>1</v>
      </c>
      <c r="F649" s="223">
        <v>12000</v>
      </c>
      <c r="G649" s="2">
        <f t="shared" si="75"/>
        <v>12000</v>
      </c>
      <c r="H649" s="238">
        <f t="shared" si="76"/>
        <v>1800</v>
      </c>
      <c r="I649" s="51">
        <f t="shared" si="82"/>
        <v>2400</v>
      </c>
      <c r="J649" s="128">
        <f>+(F649+H649+I649)/5300</f>
        <v>3.0566037735849059</v>
      </c>
      <c r="K649" s="53">
        <f>+J649*E649</f>
        <v>3.0566037735849059</v>
      </c>
      <c r="L649" s="52">
        <f>E649*J649</f>
        <v>3.0566037735849059</v>
      </c>
      <c r="M649" s="245" t="s">
        <v>15</v>
      </c>
    </row>
    <row r="650" spans="1:13">
      <c r="A650" s="280">
        <v>3.13</v>
      </c>
      <c r="B650" s="13" t="s">
        <v>530</v>
      </c>
      <c r="C650" s="146" t="s">
        <v>531</v>
      </c>
      <c r="D650" s="222"/>
      <c r="E650" s="227"/>
      <c r="F650" s="236"/>
      <c r="G650" s="236"/>
      <c r="H650" s="239"/>
      <c r="I650" s="206">
        <f t="shared" si="82"/>
        <v>0</v>
      </c>
      <c r="J650" s="84"/>
      <c r="K650" s="241"/>
      <c r="L650" s="219"/>
      <c r="M650" s="245" t="s">
        <v>20</v>
      </c>
    </row>
    <row r="651" spans="1:13">
      <c r="A651" s="281">
        <v>3.13</v>
      </c>
      <c r="B651" s="13" t="s">
        <v>530</v>
      </c>
      <c r="C651" s="6" t="s">
        <v>531</v>
      </c>
      <c r="D651" s="223"/>
      <c r="E651" s="226"/>
      <c r="F651" s="223"/>
      <c r="G651" s="2"/>
      <c r="H651" s="51">
        <f>+F651*0.15</f>
        <v>0</v>
      </c>
      <c r="I651" s="51">
        <f t="shared" si="82"/>
        <v>0</v>
      </c>
      <c r="J651" s="52"/>
      <c r="K651" s="52"/>
      <c r="L651" s="219"/>
      <c r="M651" s="245" t="s">
        <v>89</v>
      </c>
    </row>
    <row r="652" spans="1:13">
      <c r="A652" s="280">
        <v>3.13</v>
      </c>
      <c r="B652" s="13" t="s">
        <v>530</v>
      </c>
      <c r="C652" s="6" t="s">
        <v>531</v>
      </c>
      <c r="D652" s="223"/>
      <c r="E652" s="226"/>
      <c r="F652" s="235"/>
      <c r="G652" s="2"/>
      <c r="H652" s="51"/>
      <c r="I652" s="51">
        <f t="shared" si="82"/>
        <v>0</v>
      </c>
      <c r="J652" s="241"/>
      <c r="K652" s="52"/>
      <c r="L652" s="219"/>
      <c r="M652" s="245" t="s">
        <v>23</v>
      </c>
    </row>
    <row r="653" spans="1:13">
      <c r="A653" s="151">
        <v>3.13</v>
      </c>
      <c r="B653" s="13" t="s">
        <v>530</v>
      </c>
      <c r="C653" s="6" t="s">
        <v>531</v>
      </c>
      <c r="D653" s="48"/>
      <c r="E653" s="49"/>
      <c r="F653" s="48"/>
      <c r="G653" s="9"/>
      <c r="H653" s="69"/>
      <c r="I653" s="69">
        <f t="shared" si="82"/>
        <v>0</v>
      </c>
      <c r="J653" s="54"/>
      <c r="K653" s="73"/>
      <c r="L653" s="54"/>
      <c r="M653" s="245" t="s">
        <v>30</v>
      </c>
    </row>
    <row r="654" spans="1:13">
      <c r="A654" s="280">
        <v>3.13</v>
      </c>
      <c r="B654" s="13" t="s">
        <v>530</v>
      </c>
      <c r="C654" s="6" t="s">
        <v>531</v>
      </c>
      <c r="D654" s="104"/>
      <c r="E654" s="226"/>
      <c r="F654" s="223"/>
      <c r="G654" s="2"/>
      <c r="H654" s="238"/>
      <c r="I654" s="51">
        <f t="shared" si="82"/>
        <v>0</v>
      </c>
      <c r="J654" s="52"/>
      <c r="K654" s="53"/>
      <c r="L654" s="52"/>
      <c r="M654" s="245" t="s">
        <v>93</v>
      </c>
    </row>
    <row r="655" spans="1:13">
      <c r="A655" s="280">
        <v>3.13</v>
      </c>
      <c r="B655" s="13" t="s">
        <v>530</v>
      </c>
      <c r="C655" s="6" t="s">
        <v>531</v>
      </c>
      <c r="D655" s="223"/>
      <c r="E655" s="226"/>
      <c r="F655" s="223"/>
      <c r="G655" s="2"/>
      <c r="H655" s="238"/>
      <c r="I655" s="51"/>
      <c r="J655" s="52"/>
      <c r="K655" s="52"/>
      <c r="L655" s="219"/>
      <c r="M655" s="245" t="s">
        <v>87</v>
      </c>
    </row>
    <row r="656" spans="1:13">
      <c r="A656" s="280">
        <v>3.13</v>
      </c>
      <c r="B656" s="13" t="s">
        <v>530</v>
      </c>
      <c r="C656" s="6" t="s">
        <v>531</v>
      </c>
      <c r="D656" s="223"/>
      <c r="E656" s="226"/>
      <c r="F656" s="223"/>
      <c r="G656" s="2"/>
      <c r="H656" s="238"/>
      <c r="I656" s="51">
        <f>+F656*0.2</f>
        <v>0</v>
      </c>
      <c r="J656" s="128"/>
      <c r="K656" s="53"/>
      <c r="L656" s="52"/>
      <c r="M656" s="245" t="s">
        <v>15</v>
      </c>
    </row>
    <row r="657" spans="1:13">
      <c r="A657" s="151">
        <v>3.13</v>
      </c>
      <c r="B657" s="13" t="s">
        <v>530</v>
      </c>
      <c r="C657" s="6" t="s">
        <v>531</v>
      </c>
      <c r="D657" s="48"/>
      <c r="E657" s="49"/>
      <c r="F657" s="48"/>
      <c r="G657" s="9">
        <f>F657*E657</f>
        <v>0</v>
      </c>
      <c r="H657" s="51"/>
      <c r="I657" s="51">
        <f>+F657*0.15</f>
        <v>0</v>
      </c>
      <c r="J657" s="128"/>
      <c r="K657" s="53"/>
      <c r="L657" s="52"/>
      <c r="M657" s="245" t="s">
        <v>17</v>
      </c>
    </row>
    <row r="658" spans="1:13">
      <c r="A658" s="151">
        <v>3.13</v>
      </c>
      <c r="B658" s="13" t="s">
        <v>530</v>
      </c>
      <c r="C658" s="6" t="s">
        <v>531</v>
      </c>
      <c r="D658" s="48"/>
      <c r="E658" s="49"/>
      <c r="F658" s="48"/>
      <c r="G658" s="9"/>
      <c r="H658" s="51"/>
      <c r="I658" s="51">
        <f>+F658*0.2</f>
        <v>0</v>
      </c>
      <c r="J658" s="128"/>
      <c r="K658" s="53"/>
      <c r="L658" s="52"/>
      <c r="M658" s="245" t="s">
        <v>17</v>
      </c>
    </row>
    <row r="659" spans="1:13">
      <c r="A659" s="94" t="s">
        <v>532</v>
      </c>
      <c r="B659" s="95" t="s">
        <v>533</v>
      </c>
      <c r="C659" s="207" t="s">
        <v>534</v>
      </c>
      <c r="D659" s="207" t="s">
        <v>326</v>
      </c>
      <c r="E659" s="227">
        <v>5</v>
      </c>
      <c r="F659" s="270">
        <v>40000</v>
      </c>
      <c r="G659" s="236">
        <f t="shared" ref="G659:G667" si="83">F659*E659</f>
        <v>200000</v>
      </c>
      <c r="H659" s="239">
        <f t="shared" ref="H659:H667" si="84">+F659*0.15</f>
        <v>6000</v>
      </c>
      <c r="I659" s="206">
        <f>+F659*0.2</f>
        <v>8000</v>
      </c>
      <c r="J659" s="84">
        <f t="shared" ref="J659:J667" si="85">+(F659+H659+I659)/5300</f>
        <v>10.188679245283019</v>
      </c>
      <c r="K659" s="241">
        <f>J659*E659</f>
        <v>50.943396226415096</v>
      </c>
      <c r="L659" s="219"/>
      <c r="M659" s="245" t="s">
        <v>20</v>
      </c>
    </row>
    <row r="660" spans="1:13">
      <c r="A660" s="1" t="s">
        <v>532</v>
      </c>
      <c r="B660" s="95" t="s">
        <v>533</v>
      </c>
      <c r="C660" s="26" t="s">
        <v>534</v>
      </c>
      <c r="D660" s="26" t="s">
        <v>326</v>
      </c>
      <c r="E660" s="226">
        <v>5</v>
      </c>
      <c r="F660" s="26">
        <v>40000</v>
      </c>
      <c r="G660" s="2">
        <f t="shared" si="83"/>
        <v>200000</v>
      </c>
      <c r="H660" s="51">
        <f t="shared" si="84"/>
        <v>6000</v>
      </c>
      <c r="I660" s="51">
        <f>+F660*0.2</f>
        <v>8000</v>
      </c>
      <c r="J660" s="52">
        <f t="shared" si="85"/>
        <v>10.188679245283019</v>
      </c>
      <c r="K660" s="52">
        <f t="shared" ref="K660:K667" si="86">+J660*E660</f>
        <v>50.943396226415096</v>
      </c>
      <c r="L660" s="219"/>
      <c r="M660" s="245" t="s">
        <v>89</v>
      </c>
    </row>
    <row r="661" spans="1:13">
      <c r="A661" s="218" t="s">
        <v>532</v>
      </c>
      <c r="B661" s="95" t="s">
        <v>533</v>
      </c>
      <c r="C661" s="26" t="s">
        <v>534</v>
      </c>
      <c r="D661" s="25" t="s">
        <v>326</v>
      </c>
      <c r="E661" s="49">
        <v>5</v>
      </c>
      <c r="F661" s="32">
        <v>40000</v>
      </c>
      <c r="G661" s="9">
        <f t="shared" si="83"/>
        <v>200000</v>
      </c>
      <c r="H661" s="69">
        <f t="shared" si="84"/>
        <v>6000</v>
      </c>
      <c r="I661" s="69">
        <f>+F661*0.2</f>
        <v>8000</v>
      </c>
      <c r="J661" s="54">
        <f t="shared" si="85"/>
        <v>10.188679245283019</v>
      </c>
      <c r="K661" s="73">
        <f t="shared" si="86"/>
        <v>50.943396226415096</v>
      </c>
      <c r="L661" s="54">
        <f>+J661*E661</f>
        <v>50.943396226415096</v>
      </c>
      <c r="M661" s="245" t="s">
        <v>30</v>
      </c>
    </row>
    <row r="662" spans="1:13">
      <c r="A662" s="94" t="s">
        <v>532</v>
      </c>
      <c r="B662" s="95" t="s">
        <v>533</v>
      </c>
      <c r="C662" s="26" t="s">
        <v>534</v>
      </c>
      <c r="D662" s="104" t="s">
        <v>326</v>
      </c>
      <c r="E662" s="226">
        <v>5</v>
      </c>
      <c r="F662" s="26">
        <v>40000</v>
      </c>
      <c r="G662" s="2">
        <f t="shared" si="83"/>
        <v>200000</v>
      </c>
      <c r="H662" s="238">
        <f t="shared" si="84"/>
        <v>6000</v>
      </c>
      <c r="I662" s="51">
        <f>+F662*0.2</f>
        <v>8000</v>
      </c>
      <c r="J662" s="52">
        <f t="shared" si="85"/>
        <v>10.188679245283019</v>
      </c>
      <c r="K662" s="53">
        <f t="shared" si="86"/>
        <v>50.943396226415096</v>
      </c>
      <c r="L662" s="52">
        <f>J662*E662</f>
        <v>50.943396226415096</v>
      </c>
      <c r="M662" s="245" t="s">
        <v>93</v>
      </c>
    </row>
    <row r="663" spans="1:13">
      <c r="A663" s="94" t="s">
        <v>532</v>
      </c>
      <c r="B663" s="95" t="s">
        <v>533</v>
      </c>
      <c r="C663" s="26" t="s">
        <v>534</v>
      </c>
      <c r="D663" s="26" t="s">
        <v>326</v>
      </c>
      <c r="E663" s="226">
        <v>5</v>
      </c>
      <c r="F663" s="26">
        <v>40000</v>
      </c>
      <c r="G663" s="2">
        <f t="shared" si="83"/>
        <v>200000</v>
      </c>
      <c r="H663" s="238">
        <f t="shared" si="84"/>
        <v>6000</v>
      </c>
      <c r="I663" s="51">
        <f>+F663*0.15</f>
        <v>6000</v>
      </c>
      <c r="J663" s="52">
        <f t="shared" si="85"/>
        <v>9.8113207547169807</v>
      </c>
      <c r="K663" s="52">
        <f t="shared" si="86"/>
        <v>49.056603773584904</v>
      </c>
      <c r="L663" s="219"/>
      <c r="M663" s="245" t="s">
        <v>87</v>
      </c>
    </row>
    <row r="664" spans="1:13">
      <c r="A664" s="94" t="s">
        <v>532</v>
      </c>
      <c r="B664" s="95" t="s">
        <v>533</v>
      </c>
      <c r="C664" s="26" t="s">
        <v>534</v>
      </c>
      <c r="D664" s="26" t="s">
        <v>326</v>
      </c>
      <c r="E664" s="226">
        <v>5</v>
      </c>
      <c r="F664" s="26">
        <v>40000</v>
      </c>
      <c r="G664" s="2">
        <f t="shared" si="83"/>
        <v>200000</v>
      </c>
      <c r="H664" s="238">
        <f t="shared" si="84"/>
        <v>6000</v>
      </c>
      <c r="I664" s="51">
        <f>+F664*0.2</f>
        <v>8000</v>
      </c>
      <c r="J664" s="128">
        <f t="shared" si="85"/>
        <v>10.188679245283019</v>
      </c>
      <c r="K664" s="53">
        <f t="shared" si="86"/>
        <v>50.943396226415096</v>
      </c>
      <c r="L664" s="52">
        <f>E664*J664</f>
        <v>50.943396226415096</v>
      </c>
      <c r="M664" s="245" t="s">
        <v>15</v>
      </c>
    </row>
    <row r="665" spans="1:13">
      <c r="A665" s="218" t="s">
        <v>532</v>
      </c>
      <c r="B665" s="95" t="s">
        <v>533</v>
      </c>
      <c r="C665" s="26" t="s">
        <v>534</v>
      </c>
      <c r="D665" s="25" t="s">
        <v>326</v>
      </c>
      <c r="E665" s="49">
        <v>10</v>
      </c>
      <c r="F665" s="25">
        <v>40000</v>
      </c>
      <c r="G665" s="9">
        <f t="shared" si="83"/>
        <v>400000</v>
      </c>
      <c r="H665" s="51">
        <f t="shared" si="84"/>
        <v>6000</v>
      </c>
      <c r="I665" s="51">
        <f>+F665*0.2</f>
        <v>8000</v>
      </c>
      <c r="J665" s="128">
        <f t="shared" si="85"/>
        <v>10.188679245283019</v>
      </c>
      <c r="K665" s="53">
        <f t="shared" si="86"/>
        <v>101.88679245283019</v>
      </c>
      <c r="L665" s="52">
        <f>J665*E665</f>
        <v>101.88679245283019</v>
      </c>
      <c r="M665" s="245" t="s">
        <v>17</v>
      </c>
    </row>
    <row r="666" spans="1:13">
      <c r="A666" s="94" t="s">
        <v>532</v>
      </c>
      <c r="B666" s="95" t="s">
        <v>533</v>
      </c>
      <c r="C666" s="26" t="s">
        <v>534</v>
      </c>
      <c r="D666" s="26" t="s">
        <v>326</v>
      </c>
      <c r="E666" s="226">
        <v>5</v>
      </c>
      <c r="F666" s="208">
        <v>40000</v>
      </c>
      <c r="G666" s="2">
        <f t="shared" si="83"/>
        <v>200000</v>
      </c>
      <c r="H666" s="51">
        <f t="shared" si="84"/>
        <v>6000</v>
      </c>
      <c r="I666" s="51">
        <f>+F666*0.2</f>
        <v>8000</v>
      </c>
      <c r="J666" s="241">
        <f t="shared" si="85"/>
        <v>10.188679245283019</v>
      </c>
      <c r="K666" s="52">
        <f t="shared" si="86"/>
        <v>50.943396226415096</v>
      </c>
      <c r="L666" s="219"/>
      <c r="M666" s="245" t="s">
        <v>23</v>
      </c>
    </row>
    <row r="667" spans="1:13">
      <c r="A667" s="218" t="s">
        <v>532</v>
      </c>
      <c r="B667" s="95" t="s">
        <v>533</v>
      </c>
      <c r="C667" s="26" t="s">
        <v>534</v>
      </c>
      <c r="D667" s="25" t="s">
        <v>326</v>
      </c>
      <c r="E667" s="49">
        <v>5</v>
      </c>
      <c r="F667" s="25">
        <v>40000</v>
      </c>
      <c r="G667" s="9">
        <f t="shared" si="83"/>
        <v>200000</v>
      </c>
      <c r="H667" s="51">
        <f t="shared" si="84"/>
        <v>6000</v>
      </c>
      <c r="I667" s="51">
        <f>+F667*0.15</f>
        <v>6000</v>
      </c>
      <c r="J667" s="128">
        <f t="shared" si="85"/>
        <v>9.8113207547169807</v>
      </c>
      <c r="K667" s="53">
        <f t="shared" si="86"/>
        <v>49.056603773584904</v>
      </c>
      <c r="L667" s="52">
        <f>J667*E667</f>
        <v>49.056603773584904</v>
      </c>
      <c r="M667" s="245" t="s">
        <v>17</v>
      </c>
    </row>
    <row r="668" spans="1:13">
      <c r="A668" s="280">
        <v>3.6</v>
      </c>
      <c r="B668" s="13" t="s">
        <v>535</v>
      </c>
      <c r="C668" s="146" t="s">
        <v>536</v>
      </c>
      <c r="D668" s="222"/>
      <c r="E668" s="227"/>
      <c r="F668" s="236"/>
      <c r="G668" s="236"/>
      <c r="H668" s="239"/>
      <c r="I668" s="206">
        <f>+F668*0.2</f>
        <v>0</v>
      </c>
      <c r="J668" s="84"/>
      <c r="K668" s="241"/>
      <c r="L668" s="219"/>
      <c r="M668" s="245" t="s">
        <v>20</v>
      </c>
    </row>
    <row r="669" spans="1:13">
      <c r="A669" s="281">
        <v>3.6</v>
      </c>
      <c r="B669" s="13" t="s">
        <v>535</v>
      </c>
      <c r="C669" s="6" t="s">
        <v>536</v>
      </c>
      <c r="D669" s="223"/>
      <c r="E669" s="226"/>
      <c r="F669" s="223"/>
      <c r="G669" s="2"/>
      <c r="H669" s="51">
        <f>+F669*0.15</f>
        <v>0</v>
      </c>
      <c r="I669" s="51">
        <f>+F669*0.2</f>
        <v>0</v>
      </c>
      <c r="J669" s="52"/>
      <c r="K669" s="52"/>
      <c r="L669" s="219"/>
      <c r="M669" s="245" t="s">
        <v>89</v>
      </c>
    </row>
    <row r="670" spans="1:13">
      <c r="A670" s="280">
        <v>3.6</v>
      </c>
      <c r="B670" s="13" t="s">
        <v>535</v>
      </c>
      <c r="C670" s="6" t="s">
        <v>536</v>
      </c>
      <c r="D670" s="223"/>
      <c r="E670" s="226"/>
      <c r="F670" s="235"/>
      <c r="G670" s="2"/>
      <c r="H670" s="51"/>
      <c r="I670" s="51">
        <f>+F670*0.2</f>
        <v>0</v>
      </c>
      <c r="J670" s="241"/>
      <c r="K670" s="52"/>
      <c r="L670" s="219"/>
      <c r="M670" s="245" t="s">
        <v>23</v>
      </c>
    </row>
    <row r="671" spans="1:13">
      <c r="A671" s="151">
        <v>3.6</v>
      </c>
      <c r="B671" s="13" t="s">
        <v>535</v>
      </c>
      <c r="C671" s="6" t="s">
        <v>536</v>
      </c>
      <c r="D671" s="48"/>
      <c r="E671" s="49"/>
      <c r="F671" s="48"/>
      <c r="G671" s="9"/>
      <c r="H671" s="69"/>
      <c r="I671" s="69">
        <f>+F671*0.2</f>
        <v>0</v>
      </c>
      <c r="J671" s="54"/>
      <c r="K671" s="73"/>
      <c r="L671" s="54"/>
      <c r="M671" s="245" t="s">
        <v>30</v>
      </c>
    </row>
    <row r="672" spans="1:13">
      <c r="A672" s="280">
        <v>3.6</v>
      </c>
      <c r="B672" s="13" t="s">
        <v>535</v>
      </c>
      <c r="C672" s="6" t="s">
        <v>536</v>
      </c>
      <c r="D672" s="104"/>
      <c r="E672" s="226"/>
      <c r="F672" s="223"/>
      <c r="G672" s="2"/>
      <c r="H672" s="238">
        <f>+F672*0.15</f>
        <v>0</v>
      </c>
      <c r="I672" s="51">
        <f>+F672*0.2</f>
        <v>0</v>
      </c>
      <c r="J672" s="52"/>
      <c r="K672" s="53"/>
      <c r="L672" s="52"/>
      <c r="M672" s="245" t="s">
        <v>93</v>
      </c>
    </row>
    <row r="673" spans="1:13">
      <c r="A673" s="280">
        <v>3.6</v>
      </c>
      <c r="B673" s="13" t="s">
        <v>535</v>
      </c>
      <c r="C673" s="6" t="s">
        <v>536</v>
      </c>
      <c r="D673" s="223"/>
      <c r="E673" s="226"/>
      <c r="F673" s="223"/>
      <c r="G673" s="2"/>
      <c r="H673" s="238">
        <f>+F673*0.15</f>
        <v>0</v>
      </c>
      <c r="I673" s="51">
        <f>+F673*0.15</f>
        <v>0</v>
      </c>
      <c r="J673" s="52"/>
      <c r="K673" s="52"/>
      <c r="L673" s="219"/>
      <c r="M673" s="245" t="s">
        <v>87</v>
      </c>
    </row>
    <row r="674" spans="1:13">
      <c r="A674" s="280">
        <v>3.6</v>
      </c>
      <c r="B674" s="13" t="s">
        <v>535</v>
      </c>
      <c r="C674" s="6" t="s">
        <v>536</v>
      </c>
      <c r="D674" s="223"/>
      <c r="E674" s="226"/>
      <c r="F674" s="223"/>
      <c r="G674" s="2"/>
      <c r="H674" s="238"/>
      <c r="I674" s="51">
        <f>+F674*0.2</f>
        <v>0</v>
      </c>
      <c r="J674" s="128"/>
      <c r="K674" s="53"/>
      <c r="L674" s="52"/>
      <c r="M674" s="245" t="s">
        <v>15</v>
      </c>
    </row>
    <row r="675" spans="1:13">
      <c r="A675" s="151">
        <v>3.6</v>
      </c>
      <c r="B675" s="13" t="s">
        <v>535</v>
      </c>
      <c r="C675" s="6" t="s">
        <v>536</v>
      </c>
      <c r="D675" s="48"/>
      <c r="E675" s="49"/>
      <c r="F675" s="48"/>
      <c r="G675" s="9">
        <f>F675*E675</f>
        <v>0</v>
      </c>
      <c r="H675" s="51"/>
      <c r="I675" s="51">
        <f>+F675*0.15</f>
        <v>0</v>
      </c>
      <c r="J675" s="128"/>
      <c r="K675" s="53"/>
      <c r="L675" s="52"/>
      <c r="M675" s="245" t="s">
        <v>17</v>
      </c>
    </row>
    <row r="676" spans="1:13">
      <c r="A676" s="151">
        <v>3.6</v>
      </c>
      <c r="B676" s="13" t="s">
        <v>535</v>
      </c>
      <c r="C676" s="6" t="s">
        <v>536</v>
      </c>
      <c r="D676" s="48"/>
      <c r="E676" s="49"/>
      <c r="F676" s="48"/>
      <c r="G676" s="9"/>
      <c r="H676" s="51"/>
      <c r="I676" s="51">
        <f>+F676*0.2</f>
        <v>0</v>
      </c>
      <c r="J676" s="128"/>
      <c r="K676" s="53"/>
      <c r="L676" s="52"/>
      <c r="M676" s="245" t="s">
        <v>17</v>
      </c>
    </row>
    <row r="677" spans="1:13">
      <c r="A677" s="94" t="s">
        <v>517</v>
      </c>
      <c r="B677" s="95" t="s">
        <v>537</v>
      </c>
      <c r="C677" s="207" t="s">
        <v>538</v>
      </c>
      <c r="D677" s="207" t="s">
        <v>326</v>
      </c>
      <c r="E677" s="227">
        <v>2</v>
      </c>
      <c r="F677" s="236">
        <v>10000</v>
      </c>
      <c r="G677" s="236">
        <f t="shared" ref="G677:G685" si="87">F677*E677</f>
        <v>20000</v>
      </c>
      <c r="H677" s="239">
        <f t="shared" ref="H677:H685" si="88">+F677*0.15</f>
        <v>1500</v>
      </c>
      <c r="I677" s="206">
        <f>+F677*0.2</f>
        <v>2000</v>
      </c>
      <c r="J677" s="84">
        <f t="shared" ref="J677:J685" si="89">+(F677+H677+I677)/5300</f>
        <v>2.5471698113207548</v>
      </c>
      <c r="K677" s="241">
        <f>J677*E677</f>
        <v>5.0943396226415096</v>
      </c>
      <c r="L677" s="219"/>
      <c r="M677" s="245" t="s">
        <v>20</v>
      </c>
    </row>
    <row r="678" spans="1:13">
      <c r="A678" s="1" t="s">
        <v>517</v>
      </c>
      <c r="B678" s="95" t="s">
        <v>537</v>
      </c>
      <c r="C678" s="26" t="s">
        <v>538</v>
      </c>
      <c r="D678" s="26" t="s">
        <v>326</v>
      </c>
      <c r="E678" s="226">
        <v>2</v>
      </c>
      <c r="F678" s="223">
        <v>10000</v>
      </c>
      <c r="G678" s="2">
        <f t="shared" si="87"/>
        <v>20000</v>
      </c>
      <c r="H678" s="51">
        <f t="shared" si="88"/>
        <v>1500</v>
      </c>
      <c r="I678" s="51">
        <f>+F678*0.2</f>
        <v>2000</v>
      </c>
      <c r="J678" s="52">
        <f t="shared" si="89"/>
        <v>2.5471698113207548</v>
      </c>
      <c r="K678" s="52">
        <f t="shared" ref="K678:K685" si="90">+J678*E678</f>
        <v>5.0943396226415096</v>
      </c>
      <c r="L678" s="219"/>
      <c r="M678" s="245" t="s">
        <v>89</v>
      </c>
    </row>
    <row r="679" spans="1:13">
      <c r="A679" s="218" t="s">
        <v>517</v>
      </c>
      <c r="B679" s="95" t="s">
        <v>537</v>
      </c>
      <c r="C679" s="26" t="s">
        <v>538</v>
      </c>
      <c r="D679" s="25" t="s">
        <v>326</v>
      </c>
      <c r="E679" s="49">
        <v>3</v>
      </c>
      <c r="F679" s="48">
        <v>10000</v>
      </c>
      <c r="G679" s="9">
        <f t="shared" si="87"/>
        <v>30000</v>
      </c>
      <c r="H679" s="69">
        <f t="shared" si="88"/>
        <v>1500</v>
      </c>
      <c r="I679" s="69">
        <f>+F679*0.2</f>
        <v>2000</v>
      </c>
      <c r="J679" s="54">
        <f t="shared" si="89"/>
        <v>2.5471698113207548</v>
      </c>
      <c r="K679" s="73">
        <f t="shared" si="90"/>
        <v>7.6415094339622645</v>
      </c>
      <c r="L679" s="54">
        <f>+J679*E679</f>
        <v>7.6415094339622645</v>
      </c>
      <c r="M679" s="245" t="s">
        <v>30</v>
      </c>
    </row>
    <row r="680" spans="1:13">
      <c r="A680" s="94" t="s">
        <v>517</v>
      </c>
      <c r="B680" s="95" t="s">
        <v>537</v>
      </c>
      <c r="C680" s="26" t="s">
        <v>538</v>
      </c>
      <c r="D680" s="104" t="s">
        <v>326</v>
      </c>
      <c r="E680" s="226">
        <v>2</v>
      </c>
      <c r="F680" s="223">
        <v>10000</v>
      </c>
      <c r="G680" s="2">
        <f t="shared" si="87"/>
        <v>20000</v>
      </c>
      <c r="H680" s="238">
        <f t="shared" si="88"/>
        <v>1500</v>
      </c>
      <c r="I680" s="51">
        <f>+F680*0.2</f>
        <v>2000</v>
      </c>
      <c r="J680" s="52">
        <f t="shared" si="89"/>
        <v>2.5471698113207548</v>
      </c>
      <c r="K680" s="53">
        <f t="shared" si="90"/>
        <v>5.0943396226415096</v>
      </c>
      <c r="L680" s="52">
        <f>J680*E680</f>
        <v>5.0943396226415096</v>
      </c>
      <c r="M680" s="245" t="s">
        <v>93</v>
      </c>
    </row>
    <row r="681" spans="1:13">
      <c r="A681" s="94" t="s">
        <v>517</v>
      </c>
      <c r="B681" s="95" t="s">
        <v>537</v>
      </c>
      <c r="C681" s="26" t="s">
        <v>538</v>
      </c>
      <c r="D681" s="26" t="s">
        <v>326</v>
      </c>
      <c r="E681" s="226">
        <v>2</v>
      </c>
      <c r="F681" s="223">
        <v>10000</v>
      </c>
      <c r="G681" s="2">
        <f t="shared" si="87"/>
        <v>20000</v>
      </c>
      <c r="H681" s="238">
        <f t="shared" si="88"/>
        <v>1500</v>
      </c>
      <c r="I681" s="51">
        <f>+F681*0.15</f>
        <v>1500</v>
      </c>
      <c r="J681" s="52">
        <f t="shared" si="89"/>
        <v>2.4528301886792452</v>
      </c>
      <c r="K681" s="52">
        <f t="shared" si="90"/>
        <v>4.9056603773584904</v>
      </c>
      <c r="L681" s="219"/>
      <c r="M681" s="245" t="s">
        <v>87</v>
      </c>
    </row>
    <row r="682" spans="1:13">
      <c r="A682" s="94" t="s">
        <v>517</v>
      </c>
      <c r="B682" s="95" t="s">
        <v>537</v>
      </c>
      <c r="C682" s="26" t="s">
        <v>538</v>
      </c>
      <c r="D682" s="26" t="s">
        <v>326</v>
      </c>
      <c r="E682" s="226">
        <v>2</v>
      </c>
      <c r="F682" s="223">
        <v>10000</v>
      </c>
      <c r="G682" s="2">
        <f t="shared" si="87"/>
        <v>20000</v>
      </c>
      <c r="H682" s="238">
        <f t="shared" si="88"/>
        <v>1500</v>
      </c>
      <c r="I682" s="51">
        <f>+F682*0.2</f>
        <v>2000</v>
      </c>
      <c r="J682" s="128">
        <f t="shared" si="89"/>
        <v>2.5471698113207548</v>
      </c>
      <c r="K682" s="53">
        <f t="shared" si="90"/>
        <v>5.0943396226415096</v>
      </c>
      <c r="L682" s="52">
        <f>E682*J682</f>
        <v>5.0943396226415096</v>
      </c>
      <c r="M682" s="245" t="s">
        <v>15</v>
      </c>
    </row>
    <row r="683" spans="1:13">
      <c r="A683" s="218" t="s">
        <v>517</v>
      </c>
      <c r="B683" s="95" t="s">
        <v>537</v>
      </c>
      <c r="C683" s="26" t="s">
        <v>538</v>
      </c>
      <c r="D683" s="25" t="s">
        <v>326</v>
      </c>
      <c r="E683" s="49">
        <v>3</v>
      </c>
      <c r="F683" s="48">
        <v>10000</v>
      </c>
      <c r="G683" s="9">
        <f t="shared" si="87"/>
        <v>30000</v>
      </c>
      <c r="H683" s="51">
        <f t="shared" si="88"/>
        <v>1500</v>
      </c>
      <c r="I683" s="51">
        <f>+F683*0.15</f>
        <v>1500</v>
      </c>
      <c r="J683" s="128">
        <f t="shared" si="89"/>
        <v>2.4528301886792452</v>
      </c>
      <c r="K683" s="53">
        <f t="shared" si="90"/>
        <v>7.3584905660377355</v>
      </c>
      <c r="L683" s="52">
        <f>J683*E683</f>
        <v>7.3584905660377355</v>
      </c>
      <c r="M683" s="245" t="s">
        <v>17</v>
      </c>
    </row>
    <row r="684" spans="1:13">
      <c r="A684" s="218" t="s">
        <v>517</v>
      </c>
      <c r="B684" s="95" t="s">
        <v>537</v>
      </c>
      <c r="C684" s="26" t="s">
        <v>538</v>
      </c>
      <c r="D684" s="25" t="s">
        <v>326</v>
      </c>
      <c r="E684" s="49">
        <v>4</v>
      </c>
      <c r="F684" s="48">
        <v>10000</v>
      </c>
      <c r="G684" s="9">
        <f t="shared" si="87"/>
        <v>40000</v>
      </c>
      <c r="H684" s="51">
        <f t="shared" si="88"/>
        <v>1500</v>
      </c>
      <c r="I684" s="51">
        <f t="shared" ref="I684:I690" si="91">+F684*0.2</f>
        <v>2000</v>
      </c>
      <c r="J684" s="128">
        <f t="shared" si="89"/>
        <v>2.5471698113207548</v>
      </c>
      <c r="K684" s="53">
        <f t="shared" si="90"/>
        <v>10.188679245283019</v>
      </c>
      <c r="L684" s="52">
        <f>J684*E684</f>
        <v>10.188679245283019</v>
      </c>
      <c r="M684" s="245" t="s">
        <v>17</v>
      </c>
    </row>
    <row r="685" spans="1:13">
      <c r="A685" s="94" t="s">
        <v>539</v>
      </c>
      <c r="B685" s="95" t="s">
        <v>540</v>
      </c>
      <c r="C685" s="26" t="s">
        <v>541</v>
      </c>
      <c r="D685" s="104" t="s">
        <v>326</v>
      </c>
      <c r="E685" s="226">
        <v>1</v>
      </c>
      <c r="F685" s="223">
        <v>40000</v>
      </c>
      <c r="G685" s="2">
        <f t="shared" si="87"/>
        <v>40000</v>
      </c>
      <c r="H685" s="238">
        <f t="shared" si="88"/>
        <v>6000</v>
      </c>
      <c r="I685" s="51">
        <f t="shared" si="91"/>
        <v>8000</v>
      </c>
      <c r="J685" s="52">
        <f t="shared" si="89"/>
        <v>10.188679245283019</v>
      </c>
      <c r="K685" s="53">
        <f t="shared" si="90"/>
        <v>10.188679245283019</v>
      </c>
      <c r="L685" s="52">
        <f>J685*E685</f>
        <v>10.188679245283019</v>
      </c>
      <c r="M685" s="245" t="s">
        <v>93</v>
      </c>
    </row>
    <row r="686" spans="1:13">
      <c r="A686" s="280">
        <v>3.11</v>
      </c>
      <c r="B686" s="13" t="s">
        <v>542</v>
      </c>
      <c r="C686" s="146" t="s">
        <v>543</v>
      </c>
      <c r="D686" s="222"/>
      <c r="E686" s="227"/>
      <c r="F686" s="236"/>
      <c r="G686" s="236"/>
      <c r="H686" s="239"/>
      <c r="I686" s="206">
        <f t="shared" si="91"/>
        <v>0</v>
      </c>
      <c r="J686" s="84"/>
      <c r="K686" s="241"/>
      <c r="L686" s="219"/>
      <c r="M686" s="245" t="s">
        <v>20</v>
      </c>
    </row>
    <row r="687" spans="1:13">
      <c r="A687" s="281">
        <v>3.11</v>
      </c>
      <c r="B687" s="13" t="s">
        <v>542</v>
      </c>
      <c r="C687" s="6" t="s">
        <v>543</v>
      </c>
      <c r="D687" s="223"/>
      <c r="E687" s="226"/>
      <c r="F687" s="223"/>
      <c r="G687" s="2"/>
      <c r="H687" s="51">
        <f>+F687*0.15</f>
        <v>0</v>
      </c>
      <c r="I687" s="51">
        <f t="shared" si="91"/>
        <v>0</v>
      </c>
      <c r="J687" s="52"/>
      <c r="K687" s="52"/>
      <c r="L687" s="219"/>
      <c r="M687" s="245" t="s">
        <v>89</v>
      </c>
    </row>
    <row r="688" spans="1:13">
      <c r="A688" s="280">
        <v>3.11</v>
      </c>
      <c r="B688" s="13" t="s">
        <v>542</v>
      </c>
      <c r="C688" s="6" t="s">
        <v>543</v>
      </c>
      <c r="D688" s="223"/>
      <c r="E688" s="226"/>
      <c r="F688" s="235"/>
      <c r="G688" s="2"/>
      <c r="H688" s="51"/>
      <c r="I688" s="51">
        <f t="shared" si="91"/>
        <v>0</v>
      </c>
      <c r="J688" s="241"/>
      <c r="K688" s="52"/>
      <c r="L688" s="219"/>
      <c r="M688" s="245" t="s">
        <v>23</v>
      </c>
    </row>
    <row r="689" spans="1:13">
      <c r="A689" s="151">
        <v>3.11</v>
      </c>
      <c r="B689" s="13" t="s">
        <v>542</v>
      </c>
      <c r="C689" s="6" t="s">
        <v>543</v>
      </c>
      <c r="D689" s="48"/>
      <c r="E689" s="49"/>
      <c r="F689" s="48"/>
      <c r="G689" s="9"/>
      <c r="H689" s="69"/>
      <c r="I689" s="69">
        <f t="shared" si="91"/>
        <v>0</v>
      </c>
      <c r="J689" s="54"/>
      <c r="K689" s="73"/>
      <c r="L689" s="54"/>
      <c r="M689" s="245" t="s">
        <v>30</v>
      </c>
    </row>
    <row r="690" spans="1:13">
      <c r="A690" s="280">
        <v>3.11</v>
      </c>
      <c r="B690" s="13" t="s">
        <v>542</v>
      </c>
      <c r="C690" s="6" t="s">
        <v>543</v>
      </c>
      <c r="D690" s="104"/>
      <c r="E690" s="226"/>
      <c r="F690" s="223"/>
      <c r="G690" s="2"/>
      <c r="H690" s="238"/>
      <c r="I690" s="51">
        <f t="shared" si="91"/>
        <v>0</v>
      </c>
      <c r="J690" s="52"/>
      <c r="K690" s="53"/>
      <c r="L690" s="52"/>
      <c r="M690" s="245" t="s">
        <v>93</v>
      </c>
    </row>
    <row r="691" spans="1:13">
      <c r="A691" s="280">
        <v>3.11</v>
      </c>
      <c r="B691" s="13" t="s">
        <v>542</v>
      </c>
      <c r="C691" s="6" t="s">
        <v>543</v>
      </c>
      <c r="D691" s="223"/>
      <c r="E691" s="226"/>
      <c r="F691" s="223"/>
      <c r="G691" s="2"/>
      <c r="H691" s="238"/>
      <c r="I691" s="51"/>
      <c r="J691" s="52"/>
      <c r="K691" s="52"/>
      <c r="L691" s="219"/>
      <c r="M691" s="245" t="s">
        <v>87</v>
      </c>
    </row>
    <row r="692" spans="1:13">
      <c r="A692" s="280">
        <v>3.11</v>
      </c>
      <c r="B692" s="13" t="s">
        <v>542</v>
      </c>
      <c r="C692" s="6" t="s">
        <v>543</v>
      </c>
      <c r="D692" s="223"/>
      <c r="E692" s="226"/>
      <c r="F692" s="223"/>
      <c r="G692" s="2"/>
      <c r="H692" s="238"/>
      <c r="I692" s="51">
        <f>+F692*0.2</f>
        <v>0</v>
      </c>
      <c r="J692" s="128"/>
      <c r="K692" s="53"/>
      <c r="L692" s="52"/>
      <c r="M692" s="245" t="s">
        <v>15</v>
      </c>
    </row>
    <row r="693" spans="1:13">
      <c r="A693" s="151">
        <v>3.11</v>
      </c>
      <c r="B693" s="13" t="s">
        <v>542</v>
      </c>
      <c r="C693" s="6" t="s">
        <v>543</v>
      </c>
      <c r="D693" s="48"/>
      <c r="E693" s="49"/>
      <c r="F693" s="48"/>
      <c r="G693" s="9">
        <f>F693*E693</f>
        <v>0</v>
      </c>
      <c r="H693" s="51"/>
      <c r="I693" s="51">
        <f>+F693*0.15</f>
        <v>0</v>
      </c>
      <c r="J693" s="128"/>
      <c r="K693" s="53"/>
      <c r="L693" s="52"/>
      <c r="M693" s="245" t="s">
        <v>17</v>
      </c>
    </row>
    <row r="694" spans="1:13">
      <c r="A694" s="151">
        <v>3.11</v>
      </c>
      <c r="B694" s="13" t="s">
        <v>542</v>
      </c>
      <c r="C694" s="6" t="s">
        <v>543</v>
      </c>
      <c r="D694" s="48"/>
      <c r="E694" s="49"/>
      <c r="F694" s="48"/>
      <c r="G694" s="9"/>
      <c r="H694" s="51"/>
      <c r="I694" s="51">
        <f t="shared" ref="I694:I699" si="92">+F694*0.2</f>
        <v>0</v>
      </c>
      <c r="J694" s="128"/>
      <c r="K694" s="53"/>
      <c r="L694" s="52"/>
      <c r="M694" s="245" t="s">
        <v>17</v>
      </c>
    </row>
    <row r="695" spans="1:13">
      <c r="A695" s="94" t="s">
        <v>544</v>
      </c>
      <c r="B695" s="95" t="s">
        <v>545</v>
      </c>
      <c r="C695" s="207" t="s">
        <v>546</v>
      </c>
      <c r="D695" s="207" t="s">
        <v>326</v>
      </c>
      <c r="E695" s="227">
        <v>1</v>
      </c>
      <c r="F695" s="236">
        <v>70000</v>
      </c>
      <c r="G695" s="236">
        <f t="shared" ref="G695:G703" si="93">F695*E695</f>
        <v>70000</v>
      </c>
      <c r="H695" s="239">
        <f t="shared" ref="H695:H703" si="94">+F695*0.15</f>
        <v>10500</v>
      </c>
      <c r="I695" s="206">
        <f t="shared" si="92"/>
        <v>14000</v>
      </c>
      <c r="J695" s="84">
        <f t="shared" ref="J695:J703" si="95">+(F695+H695+I695)/5300</f>
        <v>17.830188679245282</v>
      </c>
      <c r="K695" s="241">
        <f>J695*E695</f>
        <v>17.830188679245282</v>
      </c>
      <c r="L695" s="219"/>
      <c r="M695" s="245" t="s">
        <v>20</v>
      </c>
    </row>
    <row r="696" spans="1:13">
      <c r="A696" s="1" t="s">
        <v>544</v>
      </c>
      <c r="B696" s="95" t="s">
        <v>545</v>
      </c>
      <c r="C696" s="26" t="s">
        <v>546</v>
      </c>
      <c r="D696" s="26" t="s">
        <v>326</v>
      </c>
      <c r="E696" s="226">
        <v>1</v>
      </c>
      <c r="F696" s="223">
        <v>70000</v>
      </c>
      <c r="G696" s="2">
        <f t="shared" si="93"/>
        <v>70000</v>
      </c>
      <c r="H696" s="51">
        <f t="shared" si="94"/>
        <v>10500</v>
      </c>
      <c r="I696" s="51">
        <f t="shared" si="92"/>
        <v>14000</v>
      </c>
      <c r="J696" s="52">
        <f t="shared" si="95"/>
        <v>17.830188679245282</v>
      </c>
      <c r="K696" s="52">
        <f t="shared" ref="K696:K703" si="96">+J696*E696</f>
        <v>17.830188679245282</v>
      </c>
      <c r="L696" s="219"/>
      <c r="M696" s="245" t="s">
        <v>89</v>
      </c>
    </row>
    <row r="697" spans="1:13">
      <c r="A697" s="94" t="s">
        <v>544</v>
      </c>
      <c r="B697" s="95" t="s">
        <v>545</v>
      </c>
      <c r="C697" s="26" t="s">
        <v>546</v>
      </c>
      <c r="D697" s="26" t="s">
        <v>326</v>
      </c>
      <c r="E697" s="226">
        <v>1</v>
      </c>
      <c r="F697" s="235">
        <v>70000</v>
      </c>
      <c r="G697" s="2">
        <f t="shared" si="93"/>
        <v>70000</v>
      </c>
      <c r="H697" s="51">
        <f t="shared" si="94"/>
        <v>10500</v>
      </c>
      <c r="I697" s="51">
        <f t="shared" si="92"/>
        <v>14000</v>
      </c>
      <c r="J697" s="241">
        <f t="shared" si="95"/>
        <v>17.830188679245282</v>
      </c>
      <c r="K697" s="52">
        <f t="shared" si="96"/>
        <v>17.830188679245282</v>
      </c>
      <c r="L697" s="219"/>
      <c r="M697" s="245" t="s">
        <v>23</v>
      </c>
    </row>
    <row r="698" spans="1:13">
      <c r="A698" s="218" t="s">
        <v>544</v>
      </c>
      <c r="B698" s="95" t="s">
        <v>545</v>
      </c>
      <c r="C698" s="26" t="s">
        <v>546</v>
      </c>
      <c r="D698" s="25" t="s">
        <v>326</v>
      </c>
      <c r="E698" s="49">
        <v>1</v>
      </c>
      <c r="F698" s="48">
        <v>80000</v>
      </c>
      <c r="G698" s="9">
        <f t="shared" si="93"/>
        <v>80000</v>
      </c>
      <c r="H698" s="69">
        <f t="shared" si="94"/>
        <v>12000</v>
      </c>
      <c r="I698" s="69">
        <f t="shared" si="92"/>
        <v>16000</v>
      </c>
      <c r="J698" s="54">
        <f t="shared" si="95"/>
        <v>20.377358490566039</v>
      </c>
      <c r="K698" s="73">
        <f t="shared" si="96"/>
        <v>20.377358490566039</v>
      </c>
      <c r="L698" s="54">
        <f>+J698*E698</f>
        <v>20.377358490566039</v>
      </c>
      <c r="M698" s="245" t="s">
        <v>30</v>
      </c>
    </row>
    <row r="699" spans="1:13">
      <c r="A699" s="94" t="s">
        <v>544</v>
      </c>
      <c r="B699" s="95" t="s">
        <v>545</v>
      </c>
      <c r="C699" s="26" t="s">
        <v>546</v>
      </c>
      <c r="D699" s="104" t="s">
        <v>326</v>
      </c>
      <c r="E699" s="226">
        <v>1</v>
      </c>
      <c r="F699" s="223">
        <v>70000</v>
      </c>
      <c r="G699" s="2">
        <f t="shared" si="93"/>
        <v>70000</v>
      </c>
      <c r="H699" s="238">
        <f t="shared" si="94"/>
        <v>10500</v>
      </c>
      <c r="I699" s="51">
        <f t="shared" si="92"/>
        <v>14000</v>
      </c>
      <c r="J699" s="52">
        <f t="shared" si="95"/>
        <v>17.830188679245282</v>
      </c>
      <c r="K699" s="53">
        <f t="shared" si="96"/>
        <v>17.830188679245282</v>
      </c>
      <c r="L699" s="52">
        <f>J699*E699</f>
        <v>17.830188679245282</v>
      </c>
      <c r="M699" s="245" t="s">
        <v>93</v>
      </c>
    </row>
    <row r="700" spans="1:13">
      <c r="A700" s="94" t="s">
        <v>544</v>
      </c>
      <c r="B700" s="95" t="s">
        <v>545</v>
      </c>
      <c r="C700" s="26" t="s">
        <v>546</v>
      </c>
      <c r="D700" s="26" t="s">
        <v>326</v>
      </c>
      <c r="E700" s="226">
        <v>1</v>
      </c>
      <c r="F700" s="223">
        <v>70000</v>
      </c>
      <c r="G700" s="2">
        <f t="shared" si="93"/>
        <v>70000</v>
      </c>
      <c r="H700" s="238">
        <f t="shared" si="94"/>
        <v>10500</v>
      </c>
      <c r="I700" s="51">
        <f>+F700*0.15</f>
        <v>10500</v>
      </c>
      <c r="J700" s="52">
        <f t="shared" si="95"/>
        <v>17.169811320754718</v>
      </c>
      <c r="K700" s="52">
        <f t="shared" si="96"/>
        <v>17.169811320754718</v>
      </c>
      <c r="L700" s="219"/>
      <c r="M700" s="245" t="s">
        <v>87</v>
      </c>
    </row>
    <row r="701" spans="1:13">
      <c r="A701" s="94" t="s">
        <v>544</v>
      </c>
      <c r="B701" s="95" t="s">
        <v>545</v>
      </c>
      <c r="C701" s="26" t="s">
        <v>546</v>
      </c>
      <c r="D701" s="26" t="s">
        <v>326</v>
      </c>
      <c r="E701" s="226">
        <v>1</v>
      </c>
      <c r="F701" s="223">
        <v>70000</v>
      </c>
      <c r="G701" s="2">
        <f t="shared" si="93"/>
        <v>70000</v>
      </c>
      <c r="H701" s="238">
        <f t="shared" si="94"/>
        <v>10500</v>
      </c>
      <c r="I701" s="51">
        <f>+F701*0.2</f>
        <v>14000</v>
      </c>
      <c r="J701" s="128">
        <f t="shared" si="95"/>
        <v>17.830188679245282</v>
      </c>
      <c r="K701" s="53">
        <f t="shared" si="96"/>
        <v>17.830188679245282</v>
      </c>
      <c r="L701" s="52">
        <f>E701*J701</f>
        <v>17.830188679245282</v>
      </c>
      <c r="M701" s="245" t="s">
        <v>15</v>
      </c>
    </row>
    <row r="702" spans="1:13">
      <c r="A702" s="218" t="s">
        <v>544</v>
      </c>
      <c r="B702" s="95" t="s">
        <v>545</v>
      </c>
      <c r="C702" s="26" t="s">
        <v>546</v>
      </c>
      <c r="D702" s="25" t="s">
        <v>326</v>
      </c>
      <c r="E702" s="49">
        <v>1</v>
      </c>
      <c r="F702" s="48">
        <v>80000</v>
      </c>
      <c r="G702" s="9">
        <f t="shared" si="93"/>
        <v>80000</v>
      </c>
      <c r="H702" s="51">
        <f t="shared" si="94"/>
        <v>12000</v>
      </c>
      <c r="I702" s="51">
        <f>+F702*0.15</f>
        <v>12000</v>
      </c>
      <c r="J702" s="128">
        <f t="shared" si="95"/>
        <v>19.622641509433961</v>
      </c>
      <c r="K702" s="53">
        <f t="shared" si="96"/>
        <v>19.622641509433961</v>
      </c>
      <c r="L702" s="52">
        <f>J702*E702</f>
        <v>19.622641509433961</v>
      </c>
      <c r="M702" s="245" t="s">
        <v>17</v>
      </c>
    </row>
    <row r="703" spans="1:13">
      <c r="A703" s="218" t="s">
        <v>544</v>
      </c>
      <c r="B703" s="95" t="s">
        <v>545</v>
      </c>
      <c r="C703" s="26" t="s">
        <v>546</v>
      </c>
      <c r="D703" s="25" t="s">
        <v>326</v>
      </c>
      <c r="E703" s="49">
        <v>2</v>
      </c>
      <c r="F703" s="48">
        <v>70000</v>
      </c>
      <c r="G703" s="9">
        <f t="shared" si="93"/>
        <v>140000</v>
      </c>
      <c r="H703" s="51">
        <f t="shared" si="94"/>
        <v>10500</v>
      </c>
      <c r="I703" s="51">
        <f>+F703*0.2</f>
        <v>14000</v>
      </c>
      <c r="J703" s="128">
        <f t="shared" si="95"/>
        <v>17.830188679245282</v>
      </c>
      <c r="K703" s="53">
        <f t="shared" si="96"/>
        <v>35.660377358490564</v>
      </c>
      <c r="L703" s="52">
        <f>J703*E703</f>
        <v>35.660377358490564</v>
      </c>
      <c r="M703" s="245" t="s">
        <v>17</v>
      </c>
    </row>
    <row r="704" spans="1:13">
      <c r="A704" s="280" t="s">
        <v>547</v>
      </c>
      <c r="B704" s="13" t="s">
        <v>548</v>
      </c>
      <c r="C704" s="146" t="s">
        <v>549</v>
      </c>
      <c r="D704" s="222"/>
      <c r="E704" s="227"/>
      <c r="F704" s="236"/>
      <c r="G704" s="236"/>
      <c r="H704" s="239"/>
      <c r="I704" s="206">
        <f>+F704*0.2</f>
        <v>0</v>
      </c>
      <c r="J704" s="84"/>
      <c r="K704" s="241"/>
      <c r="L704" s="219"/>
      <c r="M704" s="245" t="s">
        <v>20</v>
      </c>
    </row>
    <row r="705" spans="1:13">
      <c r="A705" s="281" t="s">
        <v>547</v>
      </c>
      <c r="B705" s="13" t="s">
        <v>548</v>
      </c>
      <c r="C705" s="6" t="s">
        <v>549</v>
      </c>
      <c r="D705" s="223"/>
      <c r="E705" s="226"/>
      <c r="F705" s="223"/>
      <c r="G705" s="2"/>
      <c r="H705" s="51">
        <f>+F705*0.15</f>
        <v>0</v>
      </c>
      <c r="I705" s="51">
        <f>+F705*0.2</f>
        <v>0</v>
      </c>
      <c r="J705" s="52"/>
      <c r="K705" s="52"/>
      <c r="L705" s="219"/>
      <c r="M705" s="245" t="s">
        <v>89</v>
      </c>
    </row>
    <row r="706" spans="1:13">
      <c r="A706" s="151" t="s">
        <v>547</v>
      </c>
      <c r="B706" s="13" t="s">
        <v>548</v>
      </c>
      <c r="C706" s="6" t="s">
        <v>549</v>
      </c>
      <c r="D706" s="48"/>
      <c r="E706" s="49"/>
      <c r="F706" s="48"/>
      <c r="G706" s="9"/>
      <c r="H706" s="69"/>
      <c r="I706" s="69">
        <f>+F706*0.2</f>
        <v>0</v>
      </c>
      <c r="J706" s="54"/>
      <c r="K706" s="73"/>
      <c r="L706" s="54"/>
      <c r="M706" s="245" t="s">
        <v>30</v>
      </c>
    </row>
    <row r="707" spans="1:13">
      <c r="A707" s="280" t="s">
        <v>547</v>
      </c>
      <c r="B707" s="13" t="s">
        <v>548</v>
      </c>
      <c r="C707" s="6" t="s">
        <v>549</v>
      </c>
      <c r="D707" s="104"/>
      <c r="E707" s="226"/>
      <c r="F707" s="223"/>
      <c r="G707" s="2"/>
      <c r="H707" s="238"/>
      <c r="I707" s="51">
        <f>+F707*0.2</f>
        <v>0</v>
      </c>
      <c r="J707" s="52"/>
      <c r="K707" s="53"/>
      <c r="L707" s="52"/>
      <c r="M707" s="245" t="s">
        <v>93</v>
      </c>
    </row>
    <row r="708" spans="1:13">
      <c r="A708" s="280" t="s">
        <v>547</v>
      </c>
      <c r="B708" s="13" t="s">
        <v>548</v>
      </c>
      <c r="C708" s="6" t="s">
        <v>549</v>
      </c>
      <c r="D708" s="223"/>
      <c r="E708" s="226"/>
      <c r="F708" s="223"/>
      <c r="G708" s="2"/>
      <c r="H708" s="238"/>
      <c r="I708" s="51"/>
      <c r="J708" s="52"/>
      <c r="K708" s="52"/>
      <c r="L708" s="219"/>
      <c r="M708" s="245" t="s">
        <v>87</v>
      </c>
    </row>
    <row r="709" spans="1:13">
      <c r="A709" s="280" t="s">
        <v>547</v>
      </c>
      <c r="B709" s="13" t="s">
        <v>548</v>
      </c>
      <c r="C709" s="6" t="s">
        <v>549</v>
      </c>
      <c r="D709" s="223"/>
      <c r="E709" s="226"/>
      <c r="F709" s="223"/>
      <c r="G709" s="2"/>
      <c r="H709" s="238"/>
      <c r="I709" s="51">
        <f>+F709*0.2</f>
        <v>0</v>
      </c>
      <c r="J709" s="128"/>
      <c r="K709" s="53"/>
      <c r="L709" s="52"/>
      <c r="M709" s="245" t="s">
        <v>15</v>
      </c>
    </row>
    <row r="710" spans="1:13">
      <c r="A710" s="151" t="s">
        <v>547</v>
      </c>
      <c r="B710" s="13" t="s">
        <v>548</v>
      </c>
      <c r="C710" s="6" t="s">
        <v>549</v>
      </c>
      <c r="D710" s="48"/>
      <c r="E710" s="49"/>
      <c r="F710" s="48"/>
      <c r="G710" s="9">
        <f>F710*E710</f>
        <v>0</v>
      </c>
      <c r="H710" s="51"/>
      <c r="I710" s="51">
        <f>+F710*0.15</f>
        <v>0</v>
      </c>
      <c r="J710" s="128"/>
      <c r="K710" s="53"/>
      <c r="L710" s="52"/>
      <c r="M710" s="245" t="s">
        <v>17</v>
      </c>
    </row>
    <row r="711" spans="1:13">
      <c r="A711" s="151" t="s">
        <v>547</v>
      </c>
      <c r="B711" s="13" t="s">
        <v>548</v>
      </c>
      <c r="C711" s="6" t="s">
        <v>549</v>
      </c>
      <c r="D711" s="48"/>
      <c r="E711" s="49"/>
      <c r="F711" s="48"/>
      <c r="G711" s="9"/>
      <c r="H711" s="51"/>
      <c r="I711" s="51">
        <f>+F711*0.2</f>
        <v>0</v>
      </c>
      <c r="J711" s="128"/>
      <c r="K711" s="53"/>
      <c r="L711" s="52"/>
      <c r="M711" s="245" t="s">
        <v>17</v>
      </c>
    </row>
    <row r="712" spans="1:13">
      <c r="A712" s="280" t="s">
        <v>547</v>
      </c>
      <c r="B712" s="13" t="s">
        <v>548</v>
      </c>
      <c r="C712" s="6" t="s">
        <v>550</v>
      </c>
      <c r="D712" s="223"/>
      <c r="E712" s="226"/>
      <c r="F712" s="235"/>
      <c r="G712" s="2"/>
      <c r="H712" s="51"/>
      <c r="I712" s="51">
        <f>+F712*0.2</f>
        <v>0</v>
      </c>
      <c r="J712" s="241"/>
      <c r="K712" s="52"/>
      <c r="L712" s="219"/>
      <c r="M712" s="245" t="s">
        <v>23</v>
      </c>
    </row>
    <row r="713" spans="1:13">
      <c r="A713" s="94" t="s">
        <v>551</v>
      </c>
      <c r="B713" s="95" t="s">
        <v>552</v>
      </c>
      <c r="C713" s="207" t="s">
        <v>553</v>
      </c>
      <c r="D713" s="207" t="s">
        <v>326</v>
      </c>
      <c r="E713" s="227">
        <v>1</v>
      </c>
      <c r="F713" s="236">
        <v>35000</v>
      </c>
      <c r="G713" s="236">
        <f t="shared" ref="G713:G732" si="97">F713*E713</f>
        <v>35000</v>
      </c>
      <c r="H713" s="239">
        <f t="shared" ref="H713:H732" si="98">+F713*0.15</f>
        <v>5250</v>
      </c>
      <c r="I713" s="206">
        <f>+F713*0.2</f>
        <v>7000</v>
      </c>
      <c r="J713" s="84">
        <f t="shared" ref="J713:J718" si="99">+(F713+H713+I713)/5300</f>
        <v>8.915094339622641</v>
      </c>
      <c r="K713" s="241">
        <f>+J713*E713</f>
        <v>8.915094339622641</v>
      </c>
      <c r="L713" s="219"/>
      <c r="M713" s="245" t="s">
        <v>20</v>
      </c>
    </row>
    <row r="714" spans="1:13">
      <c r="A714" s="1" t="s">
        <v>551</v>
      </c>
      <c r="B714" s="95" t="s">
        <v>552</v>
      </c>
      <c r="C714" s="26" t="s">
        <v>553</v>
      </c>
      <c r="D714" s="26" t="s">
        <v>326</v>
      </c>
      <c r="E714" s="226">
        <v>1</v>
      </c>
      <c r="F714" s="223">
        <v>35000</v>
      </c>
      <c r="G714" s="2">
        <f t="shared" si="97"/>
        <v>35000</v>
      </c>
      <c r="H714" s="51">
        <f t="shared" si="98"/>
        <v>5250</v>
      </c>
      <c r="I714" s="51">
        <f>+F714*0.2</f>
        <v>7000</v>
      </c>
      <c r="J714" s="52">
        <f t="shared" si="99"/>
        <v>8.915094339622641</v>
      </c>
      <c r="K714" s="52">
        <f>+J714*E714</f>
        <v>8.915094339622641</v>
      </c>
      <c r="L714" s="219"/>
      <c r="M714" s="245" t="s">
        <v>89</v>
      </c>
    </row>
    <row r="715" spans="1:13">
      <c r="A715" s="94" t="s">
        <v>551</v>
      </c>
      <c r="B715" s="95" t="s">
        <v>552</v>
      </c>
      <c r="C715" s="26" t="s">
        <v>553</v>
      </c>
      <c r="D715" s="26" t="s">
        <v>326</v>
      </c>
      <c r="E715" s="226">
        <v>1</v>
      </c>
      <c r="F715" s="223">
        <v>35000</v>
      </c>
      <c r="G715" s="2">
        <f t="shared" si="97"/>
        <v>35000</v>
      </c>
      <c r="H715" s="238">
        <f t="shared" si="98"/>
        <v>5250</v>
      </c>
      <c r="I715" s="51">
        <f>+F715*0.15</f>
        <v>5250</v>
      </c>
      <c r="J715" s="240">
        <f t="shared" si="99"/>
        <v>8.584905660377359</v>
      </c>
      <c r="K715" s="51">
        <f>+J715*E715</f>
        <v>8.584905660377359</v>
      </c>
      <c r="L715" s="240">
        <f>+E715*J715</f>
        <v>8.584905660377359</v>
      </c>
      <c r="M715" s="245" t="s">
        <v>117</v>
      </c>
    </row>
    <row r="716" spans="1:13">
      <c r="A716" s="1" t="s">
        <v>551</v>
      </c>
      <c r="B716" s="95" t="s">
        <v>552</v>
      </c>
      <c r="C716" s="26" t="s">
        <v>553</v>
      </c>
      <c r="D716" s="26" t="s">
        <v>326</v>
      </c>
      <c r="E716" s="223">
        <v>1</v>
      </c>
      <c r="F716" s="223">
        <v>35000</v>
      </c>
      <c r="G716" s="2">
        <f t="shared" si="97"/>
        <v>35000</v>
      </c>
      <c r="H716" s="238">
        <f t="shared" si="98"/>
        <v>5250</v>
      </c>
      <c r="I716" s="51">
        <f t="shared" ref="I716:I727" si="100">+F716*0.2</f>
        <v>7000</v>
      </c>
      <c r="J716" s="52">
        <f t="shared" si="99"/>
        <v>8.915094339622641</v>
      </c>
      <c r="K716" s="53">
        <f>+J716*E716</f>
        <v>8.915094339622641</v>
      </c>
      <c r="L716" s="52">
        <f>J716*E716</f>
        <v>8.915094339622641</v>
      </c>
      <c r="M716" s="245" t="s">
        <v>118</v>
      </c>
    </row>
    <row r="717" spans="1:13">
      <c r="A717" s="94" t="s">
        <v>551</v>
      </c>
      <c r="B717" s="95" t="s">
        <v>552</v>
      </c>
      <c r="C717" s="26" t="s">
        <v>553</v>
      </c>
      <c r="D717" s="26" t="s">
        <v>326</v>
      </c>
      <c r="E717" s="226">
        <v>1</v>
      </c>
      <c r="F717" s="235">
        <v>35000</v>
      </c>
      <c r="G717" s="2">
        <f t="shared" si="97"/>
        <v>35000</v>
      </c>
      <c r="H717" s="51">
        <f t="shared" si="98"/>
        <v>5250</v>
      </c>
      <c r="I717" s="51">
        <f t="shared" si="100"/>
        <v>7000</v>
      </c>
      <c r="J717" s="84">
        <f t="shared" si="99"/>
        <v>8.915094339622641</v>
      </c>
      <c r="K717" s="52">
        <f>J717*E717</f>
        <v>8.915094339622641</v>
      </c>
      <c r="L717" s="219"/>
      <c r="M717" s="245" t="s">
        <v>23</v>
      </c>
    </row>
    <row r="718" spans="1:13">
      <c r="A718" s="218" t="s">
        <v>551</v>
      </c>
      <c r="B718" s="95" t="s">
        <v>552</v>
      </c>
      <c r="C718" s="26" t="s">
        <v>553</v>
      </c>
      <c r="D718" s="25" t="s">
        <v>326</v>
      </c>
      <c r="E718" s="49">
        <v>1</v>
      </c>
      <c r="F718" s="48">
        <v>35000</v>
      </c>
      <c r="G718" s="9">
        <f t="shared" si="97"/>
        <v>35000</v>
      </c>
      <c r="H718" s="51">
        <f t="shared" si="98"/>
        <v>5250</v>
      </c>
      <c r="I718" s="51">
        <f t="shared" si="100"/>
        <v>7000</v>
      </c>
      <c r="J718" s="52">
        <f t="shared" si="99"/>
        <v>8.915094339622641</v>
      </c>
      <c r="K718" s="53">
        <f>+J718*E718</f>
        <v>8.915094339622641</v>
      </c>
      <c r="L718" s="54">
        <f>+J718*E718</f>
        <v>8.915094339622641</v>
      </c>
      <c r="M718" s="245" t="s">
        <v>30</v>
      </c>
    </row>
    <row r="719" spans="1:13">
      <c r="A719" s="94" t="s">
        <v>551</v>
      </c>
      <c r="B719" s="95" t="s">
        <v>552</v>
      </c>
      <c r="C719" s="26" t="s">
        <v>553</v>
      </c>
      <c r="D719" s="104" t="s">
        <v>326</v>
      </c>
      <c r="E719" s="226">
        <v>1</v>
      </c>
      <c r="F719" s="223">
        <v>35000</v>
      </c>
      <c r="G719" s="2">
        <f t="shared" si="97"/>
        <v>35000</v>
      </c>
      <c r="H719" s="238">
        <f t="shared" si="98"/>
        <v>5250</v>
      </c>
      <c r="I719" s="51">
        <f t="shared" si="100"/>
        <v>7000</v>
      </c>
      <c r="J719" s="52">
        <f>+(H719+I719+F719)/5300</f>
        <v>8.915094339622641</v>
      </c>
      <c r="K719" s="53">
        <f>+J719*E719</f>
        <v>8.915094339622641</v>
      </c>
      <c r="L719" s="52">
        <f>E719*J719</f>
        <v>8.915094339622641</v>
      </c>
      <c r="M719" s="245" t="s">
        <v>93</v>
      </c>
    </row>
    <row r="720" spans="1:13">
      <c r="A720" s="94" t="s">
        <v>551</v>
      </c>
      <c r="B720" s="95" t="s">
        <v>552</v>
      </c>
      <c r="C720" s="26" t="s">
        <v>553</v>
      </c>
      <c r="D720" s="26" t="s">
        <v>326</v>
      </c>
      <c r="E720" s="226">
        <v>1</v>
      </c>
      <c r="F720" s="223">
        <v>35000</v>
      </c>
      <c r="G720" s="2">
        <f t="shared" si="97"/>
        <v>35000</v>
      </c>
      <c r="H720" s="238">
        <f t="shared" si="98"/>
        <v>5250</v>
      </c>
      <c r="I720" s="51">
        <f t="shared" si="100"/>
        <v>7000</v>
      </c>
      <c r="J720" s="52">
        <f>+(F720+H720+I720)/5300</f>
        <v>8.915094339622641</v>
      </c>
      <c r="K720" s="52">
        <f>+J720*E720</f>
        <v>8.915094339622641</v>
      </c>
      <c r="L720" s="219"/>
      <c r="M720" s="245" t="s">
        <v>87</v>
      </c>
    </row>
    <row r="721" spans="1:13">
      <c r="A721" s="94" t="s">
        <v>551</v>
      </c>
      <c r="B721" s="95" t="s">
        <v>552</v>
      </c>
      <c r="C721" s="26" t="s">
        <v>553</v>
      </c>
      <c r="D721" s="26" t="s">
        <v>326</v>
      </c>
      <c r="E721" s="226">
        <v>1</v>
      </c>
      <c r="F721" s="223">
        <v>35000</v>
      </c>
      <c r="G721" s="2">
        <f t="shared" si="97"/>
        <v>35000</v>
      </c>
      <c r="H721" s="238">
        <f t="shared" si="98"/>
        <v>5250</v>
      </c>
      <c r="I721" s="51">
        <f t="shared" si="100"/>
        <v>7000</v>
      </c>
      <c r="J721" s="128">
        <f>+(F721+H721+I721)/5300</f>
        <v>8.915094339622641</v>
      </c>
      <c r="K721" s="53">
        <f>+J721*E721</f>
        <v>8.915094339622641</v>
      </c>
      <c r="L721" s="52">
        <f>E721*J721</f>
        <v>8.915094339622641</v>
      </c>
      <c r="M721" s="245" t="s">
        <v>15</v>
      </c>
    </row>
    <row r="722" spans="1:13">
      <c r="A722" s="218" t="s">
        <v>551</v>
      </c>
      <c r="B722" s="95" t="s">
        <v>552</v>
      </c>
      <c r="C722" s="26" t="s">
        <v>553</v>
      </c>
      <c r="D722" s="25" t="s">
        <v>326</v>
      </c>
      <c r="E722" s="49">
        <v>2</v>
      </c>
      <c r="F722" s="48">
        <v>35000</v>
      </c>
      <c r="G722" s="9">
        <f t="shared" si="97"/>
        <v>70000</v>
      </c>
      <c r="H722" s="51">
        <f t="shared" si="98"/>
        <v>5250</v>
      </c>
      <c r="I722" s="51">
        <f t="shared" si="100"/>
        <v>7000</v>
      </c>
      <c r="J722" s="128">
        <f>+(I722+H722+F722)/5300</f>
        <v>8.915094339622641</v>
      </c>
      <c r="K722" s="53">
        <f>+J722*E722</f>
        <v>17.830188679245282</v>
      </c>
      <c r="L722" s="52">
        <f>J722*E722</f>
        <v>17.830188679245282</v>
      </c>
      <c r="M722" s="245" t="s">
        <v>17</v>
      </c>
    </row>
    <row r="723" spans="1:13">
      <c r="A723" s="94" t="s">
        <v>554</v>
      </c>
      <c r="B723" s="95" t="s">
        <v>555</v>
      </c>
      <c r="C723" s="207" t="s">
        <v>556</v>
      </c>
      <c r="D723" s="207" t="s">
        <v>326</v>
      </c>
      <c r="E723" s="227">
        <v>1</v>
      </c>
      <c r="F723" s="236">
        <v>15000</v>
      </c>
      <c r="G723" s="236">
        <f t="shared" si="97"/>
        <v>15000</v>
      </c>
      <c r="H723" s="239">
        <f t="shared" si="98"/>
        <v>2250</v>
      </c>
      <c r="I723" s="206">
        <f t="shared" si="100"/>
        <v>3000</v>
      </c>
      <c r="J723" s="84">
        <f t="shared" ref="J723:J732" si="101">+(F723+H723+I723)/5300</f>
        <v>3.8207547169811322</v>
      </c>
      <c r="K723" s="241">
        <f>J723*E723</f>
        <v>3.8207547169811322</v>
      </c>
      <c r="L723" s="219"/>
      <c r="M723" s="245" t="s">
        <v>20</v>
      </c>
    </row>
    <row r="724" spans="1:13">
      <c r="A724" s="1" t="s">
        <v>554</v>
      </c>
      <c r="B724" s="95" t="s">
        <v>555</v>
      </c>
      <c r="C724" s="26" t="s">
        <v>556</v>
      </c>
      <c r="D724" s="26" t="s">
        <v>326</v>
      </c>
      <c r="E724" s="226">
        <v>1</v>
      </c>
      <c r="F724" s="223">
        <v>15000</v>
      </c>
      <c r="G724" s="2">
        <f t="shared" si="97"/>
        <v>15000</v>
      </c>
      <c r="H724" s="51">
        <f t="shared" si="98"/>
        <v>2250</v>
      </c>
      <c r="I724" s="51">
        <f t="shared" si="100"/>
        <v>3000</v>
      </c>
      <c r="J724" s="52">
        <f t="shared" si="101"/>
        <v>3.8207547169811322</v>
      </c>
      <c r="K724" s="52">
        <f t="shared" ref="K724:K732" si="102">+J724*E724</f>
        <v>3.8207547169811322</v>
      </c>
      <c r="L724" s="219"/>
      <c r="M724" s="245" t="s">
        <v>89</v>
      </c>
    </row>
    <row r="725" spans="1:13">
      <c r="A725" s="94" t="s">
        <v>554</v>
      </c>
      <c r="B725" s="95" t="s">
        <v>555</v>
      </c>
      <c r="C725" s="26" t="s">
        <v>556</v>
      </c>
      <c r="D725" s="26" t="s">
        <v>326</v>
      </c>
      <c r="E725" s="226">
        <v>6</v>
      </c>
      <c r="F725" s="235">
        <v>15000</v>
      </c>
      <c r="G725" s="2">
        <f t="shared" si="97"/>
        <v>90000</v>
      </c>
      <c r="H725" s="51">
        <f t="shared" si="98"/>
        <v>2250</v>
      </c>
      <c r="I725" s="51">
        <f t="shared" si="100"/>
        <v>3000</v>
      </c>
      <c r="J725" s="241">
        <f t="shared" si="101"/>
        <v>3.8207547169811322</v>
      </c>
      <c r="K725" s="52">
        <f t="shared" si="102"/>
        <v>22.924528301886795</v>
      </c>
      <c r="L725" s="219"/>
      <c r="M725" s="245" t="s">
        <v>23</v>
      </c>
    </row>
    <row r="726" spans="1:13">
      <c r="A726" s="218" t="s">
        <v>554</v>
      </c>
      <c r="B726" s="95" t="s">
        <v>555</v>
      </c>
      <c r="C726" s="26" t="s">
        <v>556</v>
      </c>
      <c r="D726" s="25" t="s">
        <v>326</v>
      </c>
      <c r="E726" s="49">
        <v>1</v>
      </c>
      <c r="F726" s="48">
        <v>25000</v>
      </c>
      <c r="G726" s="9">
        <f t="shared" si="97"/>
        <v>25000</v>
      </c>
      <c r="H726" s="69">
        <f t="shared" si="98"/>
        <v>3750</v>
      </c>
      <c r="I726" s="69">
        <f t="shared" si="100"/>
        <v>5000</v>
      </c>
      <c r="J726" s="54">
        <f t="shared" si="101"/>
        <v>6.367924528301887</v>
      </c>
      <c r="K726" s="73">
        <f t="shared" si="102"/>
        <v>6.367924528301887</v>
      </c>
      <c r="L726" s="54">
        <f>+J726*E726</f>
        <v>6.367924528301887</v>
      </c>
      <c r="M726" s="245" t="s">
        <v>30</v>
      </c>
    </row>
    <row r="727" spans="1:13">
      <c r="A727" s="94" t="s">
        <v>554</v>
      </c>
      <c r="B727" s="95" t="s">
        <v>555</v>
      </c>
      <c r="C727" s="26" t="s">
        <v>556</v>
      </c>
      <c r="D727" s="104" t="s">
        <v>326</v>
      </c>
      <c r="E727" s="226">
        <v>1</v>
      </c>
      <c r="F727" s="223">
        <v>15000</v>
      </c>
      <c r="G727" s="2">
        <f t="shared" si="97"/>
        <v>15000</v>
      </c>
      <c r="H727" s="238">
        <f t="shared" si="98"/>
        <v>2250</v>
      </c>
      <c r="I727" s="51">
        <f t="shared" si="100"/>
        <v>3000</v>
      </c>
      <c r="J727" s="52">
        <f t="shared" si="101"/>
        <v>3.8207547169811322</v>
      </c>
      <c r="K727" s="53">
        <f t="shared" si="102"/>
        <v>3.8207547169811322</v>
      </c>
      <c r="L727" s="52">
        <f>J727*E727</f>
        <v>3.8207547169811322</v>
      </c>
      <c r="M727" s="245" t="s">
        <v>93</v>
      </c>
    </row>
    <row r="728" spans="1:13">
      <c r="A728" s="94" t="s">
        <v>554</v>
      </c>
      <c r="B728" s="95" t="s">
        <v>555</v>
      </c>
      <c r="C728" s="26" t="s">
        <v>556</v>
      </c>
      <c r="D728" s="26" t="s">
        <v>326</v>
      </c>
      <c r="E728" s="226">
        <v>1</v>
      </c>
      <c r="F728" s="223">
        <v>15000</v>
      </c>
      <c r="G728" s="2">
        <f t="shared" si="97"/>
        <v>15000</v>
      </c>
      <c r="H728" s="238">
        <f t="shared" si="98"/>
        <v>2250</v>
      </c>
      <c r="I728" s="51">
        <f>+F728*0.15</f>
        <v>2250</v>
      </c>
      <c r="J728" s="52">
        <f t="shared" si="101"/>
        <v>3.6792452830188678</v>
      </c>
      <c r="K728" s="52">
        <f t="shared" si="102"/>
        <v>3.6792452830188678</v>
      </c>
      <c r="L728" s="219"/>
      <c r="M728" s="245" t="s">
        <v>87</v>
      </c>
    </row>
    <row r="729" spans="1:13">
      <c r="A729" s="94" t="s">
        <v>554</v>
      </c>
      <c r="B729" s="95" t="s">
        <v>555</v>
      </c>
      <c r="C729" s="26" t="s">
        <v>556</v>
      </c>
      <c r="D729" s="26" t="s">
        <v>326</v>
      </c>
      <c r="E729" s="226">
        <v>1</v>
      </c>
      <c r="F729" s="223">
        <v>15000</v>
      </c>
      <c r="G729" s="2">
        <f t="shared" si="97"/>
        <v>15000</v>
      </c>
      <c r="H729" s="238">
        <f t="shared" si="98"/>
        <v>2250</v>
      </c>
      <c r="I729" s="51">
        <f>+F729*0.2</f>
        <v>3000</v>
      </c>
      <c r="J729" s="128">
        <f t="shared" si="101"/>
        <v>3.8207547169811322</v>
      </c>
      <c r="K729" s="53">
        <f t="shared" si="102"/>
        <v>3.8207547169811322</v>
      </c>
      <c r="L729" s="52">
        <f>E729*J729</f>
        <v>3.8207547169811322</v>
      </c>
      <c r="M729" s="245" t="s">
        <v>15</v>
      </c>
    </row>
    <row r="730" spans="1:13">
      <c r="A730" s="218" t="s">
        <v>554</v>
      </c>
      <c r="B730" s="95" t="s">
        <v>555</v>
      </c>
      <c r="C730" s="26" t="s">
        <v>556</v>
      </c>
      <c r="D730" s="25" t="s">
        <v>326</v>
      </c>
      <c r="E730" s="49">
        <v>1</v>
      </c>
      <c r="F730" s="48">
        <v>25000</v>
      </c>
      <c r="G730" s="9">
        <f t="shared" si="97"/>
        <v>25000</v>
      </c>
      <c r="H730" s="51">
        <f t="shared" si="98"/>
        <v>3750</v>
      </c>
      <c r="I730" s="51">
        <f>+F730*0.15</f>
        <v>3750</v>
      </c>
      <c r="J730" s="128">
        <f t="shared" si="101"/>
        <v>6.132075471698113</v>
      </c>
      <c r="K730" s="53">
        <f t="shared" si="102"/>
        <v>6.132075471698113</v>
      </c>
      <c r="L730" s="52">
        <f>J730*E730</f>
        <v>6.132075471698113</v>
      </c>
      <c r="M730" s="245" t="s">
        <v>17</v>
      </c>
    </row>
    <row r="731" spans="1:13">
      <c r="A731" s="218" t="s">
        <v>554</v>
      </c>
      <c r="B731" s="95" t="s">
        <v>555</v>
      </c>
      <c r="C731" s="26" t="s">
        <v>556</v>
      </c>
      <c r="D731" s="25" t="s">
        <v>326</v>
      </c>
      <c r="E731" s="49">
        <v>2</v>
      </c>
      <c r="F731" s="48">
        <v>15000</v>
      </c>
      <c r="G731" s="9">
        <f t="shared" si="97"/>
        <v>30000</v>
      </c>
      <c r="H731" s="51">
        <f t="shared" si="98"/>
        <v>2250</v>
      </c>
      <c r="I731" s="51">
        <f t="shared" ref="I731:I737" si="103">+F731*0.2</f>
        <v>3000</v>
      </c>
      <c r="J731" s="128">
        <f t="shared" si="101"/>
        <v>3.8207547169811322</v>
      </c>
      <c r="K731" s="53">
        <f t="shared" si="102"/>
        <v>7.6415094339622645</v>
      </c>
      <c r="L731" s="52">
        <f>J731*E731</f>
        <v>7.6415094339622645</v>
      </c>
      <c r="M731" s="245" t="s">
        <v>17</v>
      </c>
    </row>
    <row r="732" spans="1:13">
      <c r="A732" s="94"/>
      <c r="B732" s="95" t="s">
        <v>557</v>
      </c>
      <c r="C732" s="26" t="s">
        <v>558</v>
      </c>
      <c r="D732" s="26" t="s">
        <v>326</v>
      </c>
      <c r="E732" s="226">
        <v>1</v>
      </c>
      <c r="F732" s="235">
        <v>150000</v>
      </c>
      <c r="G732" s="2">
        <f t="shared" si="97"/>
        <v>150000</v>
      </c>
      <c r="H732" s="51">
        <f t="shared" si="98"/>
        <v>22500</v>
      </c>
      <c r="I732" s="51">
        <f t="shared" si="103"/>
        <v>30000</v>
      </c>
      <c r="J732" s="241">
        <f t="shared" si="101"/>
        <v>38.20754716981132</v>
      </c>
      <c r="K732" s="52">
        <f t="shared" si="102"/>
        <v>38.20754716981132</v>
      </c>
      <c r="L732" s="219"/>
      <c r="M732" s="245" t="s">
        <v>23</v>
      </c>
    </row>
    <row r="733" spans="1:13">
      <c r="A733" s="280">
        <v>3.7</v>
      </c>
      <c r="B733" s="13" t="s">
        <v>559</v>
      </c>
      <c r="C733" s="146" t="s">
        <v>560</v>
      </c>
      <c r="D733" s="222"/>
      <c r="E733" s="227"/>
      <c r="F733" s="236"/>
      <c r="G733" s="236"/>
      <c r="H733" s="239"/>
      <c r="I733" s="206">
        <f t="shared" si="103"/>
        <v>0</v>
      </c>
      <c r="J733" s="84"/>
      <c r="K733" s="241"/>
      <c r="L733" s="219"/>
      <c r="M733" s="245" t="s">
        <v>20</v>
      </c>
    </row>
    <row r="734" spans="1:13">
      <c r="A734" s="281">
        <v>3.7</v>
      </c>
      <c r="B734" s="13" t="s">
        <v>559</v>
      </c>
      <c r="C734" s="6" t="s">
        <v>560</v>
      </c>
      <c r="D734" s="223"/>
      <c r="E734" s="226"/>
      <c r="F734" s="223"/>
      <c r="G734" s="2"/>
      <c r="H734" s="51">
        <f>+F734*0.15</f>
        <v>0</v>
      </c>
      <c r="I734" s="51">
        <f t="shared" si="103"/>
        <v>0</v>
      </c>
      <c r="J734" s="52"/>
      <c r="K734" s="52"/>
      <c r="L734" s="219"/>
      <c r="M734" s="245" t="s">
        <v>89</v>
      </c>
    </row>
    <row r="735" spans="1:13">
      <c r="A735" s="280">
        <v>3.7</v>
      </c>
      <c r="B735" s="13" t="s">
        <v>559</v>
      </c>
      <c r="C735" s="6" t="s">
        <v>560</v>
      </c>
      <c r="D735" s="223"/>
      <c r="E735" s="226"/>
      <c r="F735" s="235"/>
      <c r="G735" s="2"/>
      <c r="H735" s="51"/>
      <c r="I735" s="51">
        <f t="shared" si="103"/>
        <v>0</v>
      </c>
      <c r="J735" s="241"/>
      <c r="K735" s="52"/>
      <c r="L735" s="219"/>
      <c r="M735" s="245" t="s">
        <v>23</v>
      </c>
    </row>
    <row r="736" spans="1:13">
      <c r="A736" s="151">
        <v>3.7</v>
      </c>
      <c r="B736" s="13" t="s">
        <v>559</v>
      </c>
      <c r="C736" s="6" t="s">
        <v>560</v>
      </c>
      <c r="D736" s="48"/>
      <c r="E736" s="49"/>
      <c r="F736" s="48"/>
      <c r="G736" s="9"/>
      <c r="H736" s="69"/>
      <c r="I736" s="69">
        <f t="shared" si="103"/>
        <v>0</v>
      </c>
      <c r="J736" s="54"/>
      <c r="K736" s="73"/>
      <c r="L736" s="54"/>
      <c r="M736" s="245" t="s">
        <v>30</v>
      </c>
    </row>
    <row r="737" spans="1:13">
      <c r="A737" s="280">
        <v>3.7</v>
      </c>
      <c r="B737" s="13" t="s">
        <v>559</v>
      </c>
      <c r="C737" s="6" t="s">
        <v>560</v>
      </c>
      <c r="D737" s="104"/>
      <c r="E737" s="226"/>
      <c r="F737" s="223"/>
      <c r="G737" s="2"/>
      <c r="H737" s="238">
        <f>+F737*0.15</f>
        <v>0</v>
      </c>
      <c r="I737" s="51">
        <f t="shared" si="103"/>
        <v>0</v>
      </c>
      <c r="J737" s="52"/>
      <c r="K737" s="53"/>
      <c r="L737" s="52"/>
      <c r="M737" s="245" t="s">
        <v>93</v>
      </c>
    </row>
    <row r="738" spans="1:13">
      <c r="A738" s="280">
        <v>3.7</v>
      </c>
      <c r="B738" s="13" t="s">
        <v>559</v>
      </c>
      <c r="C738" s="6" t="s">
        <v>560</v>
      </c>
      <c r="D738" s="223"/>
      <c r="E738" s="226"/>
      <c r="F738" s="223"/>
      <c r="G738" s="2"/>
      <c r="H738" s="238">
        <f>+F738*0.15</f>
        <v>0</v>
      </c>
      <c r="I738" s="51">
        <f>+F738*0.15</f>
        <v>0</v>
      </c>
      <c r="J738" s="52"/>
      <c r="K738" s="52"/>
      <c r="L738" s="219"/>
      <c r="M738" s="245" t="s">
        <v>87</v>
      </c>
    </row>
    <row r="739" spans="1:13">
      <c r="A739" s="280">
        <v>3.7</v>
      </c>
      <c r="B739" s="13" t="s">
        <v>559</v>
      </c>
      <c r="C739" s="6" t="s">
        <v>560</v>
      </c>
      <c r="D739" s="223"/>
      <c r="E739" s="226"/>
      <c r="F739" s="223"/>
      <c r="G739" s="2"/>
      <c r="H739" s="238"/>
      <c r="I739" s="51">
        <f>+F739*0.2</f>
        <v>0</v>
      </c>
      <c r="J739" s="128"/>
      <c r="K739" s="53"/>
      <c r="L739" s="52"/>
      <c r="M739" s="245" t="s">
        <v>15</v>
      </c>
    </row>
    <row r="740" spans="1:13">
      <c r="A740" s="151">
        <v>3.7</v>
      </c>
      <c r="B740" s="13" t="s">
        <v>559</v>
      </c>
      <c r="C740" s="6" t="s">
        <v>560</v>
      </c>
      <c r="D740" s="48"/>
      <c r="E740" s="49"/>
      <c r="F740" s="48"/>
      <c r="G740" s="9">
        <f>F740*E740</f>
        <v>0</v>
      </c>
      <c r="H740" s="51"/>
      <c r="I740" s="51">
        <f>+F740*0.15</f>
        <v>0</v>
      </c>
      <c r="J740" s="128"/>
      <c r="K740" s="53"/>
      <c r="L740" s="52"/>
      <c r="M740" s="245" t="s">
        <v>17</v>
      </c>
    </row>
    <row r="741" spans="1:13">
      <c r="A741" s="151">
        <v>3.7</v>
      </c>
      <c r="B741" s="13" t="s">
        <v>559</v>
      </c>
      <c r="C741" s="6" t="s">
        <v>560</v>
      </c>
      <c r="D741" s="48"/>
      <c r="E741" s="49"/>
      <c r="F741" s="48"/>
      <c r="G741" s="9"/>
      <c r="H741" s="51"/>
      <c r="I741" s="51">
        <f t="shared" ref="I741:I746" si="104">+F741*0.2</f>
        <v>0</v>
      </c>
      <c r="J741" s="128"/>
      <c r="K741" s="53"/>
      <c r="L741" s="52"/>
      <c r="M741" s="245" t="s">
        <v>17</v>
      </c>
    </row>
    <row r="742" spans="1:13">
      <c r="A742" s="94" t="s">
        <v>561</v>
      </c>
      <c r="B742" s="95" t="s">
        <v>562</v>
      </c>
      <c r="C742" s="207" t="s">
        <v>563</v>
      </c>
      <c r="D742" s="207" t="s">
        <v>326</v>
      </c>
      <c r="E742" s="227">
        <v>4</v>
      </c>
      <c r="F742" s="236">
        <v>12000</v>
      </c>
      <c r="G742" s="236">
        <f t="shared" ref="G742:G750" si="105">F742*E742</f>
        <v>48000</v>
      </c>
      <c r="H742" s="239">
        <f t="shared" ref="H742:H750" si="106">+F742*0.15</f>
        <v>1800</v>
      </c>
      <c r="I742" s="206">
        <f t="shared" si="104"/>
        <v>2400</v>
      </c>
      <c r="J742" s="84">
        <f t="shared" ref="J742:J750" si="107">+(F742+H742+I742)/5300</f>
        <v>3.0566037735849059</v>
      </c>
      <c r="K742" s="241">
        <f>J742*E742</f>
        <v>12.226415094339623</v>
      </c>
      <c r="L742" s="219"/>
      <c r="M742" s="245" t="s">
        <v>20</v>
      </c>
    </row>
    <row r="743" spans="1:13">
      <c r="A743" s="1" t="s">
        <v>561</v>
      </c>
      <c r="B743" s="95" t="s">
        <v>562</v>
      </c>
      <c r="C743" s="26" t="s">
        <v>563</v>
      </c>
      <c r="D743" s="26" t="s">
        <v>326</v>
      </c>
      <c r="E743" s="226">
        <v>4</v>
      </c>
      <c r="F743" s="223">
        <v>12000</v>
      </c>
      <c r="G743" s="2">
        <f t="shared" si="105"/>
        <v>48000</v>
      </c>
      <c r="H743" s="51">
        <f t="shared" si="106"/>
        <v>1800</v>
      </c>
      <c r="I743" s="51">
        <f t="shared" si="104"/>
        <v>2400</v>
      </c>
      <c r="J743" s="52">
        <f t="shared" si="107"/>
        <v>3.0566037735849059</v>
      </c>
      <c r="K743" s="52">
        <f t="shared" ref="K743:K750" si="108">+J743*E743</f>
        <v>12.226415094339623</v>
      </c>
      <c r="L743" s="219"/>
      <c r="M743" s="245" t="s">
        <v>89</v>
      </c>
    </row>
    <row r="744" spans="1:13">
      <c r="A744" s="94" t="s">
        <v>561</v>
      </c>
      <c r="B744" s="95" t="s">
        <v>562</v>
      </c>
      <c r="C744" s="26" t="s">
        <v>563</v>
      </c>
      <c r="D744" s="26" t="s">
        <v>326</v>
      </c>
      <c r="E744" s="226">
        <v>8</v>
      </c>
      <c r="F744" s="235">
        <v>12000</v>
      </c>
      <c r="G744" s="2">
        <f t="shared" si="105"/>
        <v>96000</v>
      </c>
      <c r="H744" s="51">
        <f t="shared" si="106"/>
        <v>1800</v>
      </c>
      <c r="I744" s="51">
        <f t="shared" si="104"/>
        <v>2400</v>
      </c>
      <c r="J744" s="241">
        <f t="shared" si="107"/>
        <v>3.0566037735849059</v>
      </c>
      <c r="K744" s="52">
        <f t="shared" si="108"/>
        <v>24.452830188679247</v>
      </c>
      <c r="L744" s="219"/>
      <c r="M744" s="245" t="s">
        <v>23</v>
      </c>
    </row>
    <row r="745" spans="1:13">
      <c r="A745" s="218" t="s">
        <v>561</v>
      </c>
      <c r="B745" s="95" t="s">
        <v>562</v>
      </c>
      <c r="C745" s="26" t="s">
        <v>563</v>
      </c>
      <c r="D745" s="25" t="s">
        <v>326</v>
      </c>
      <c r="E745" s="49">
        <v>4</v>
      </c>
      <c r="F745" s="48">
        <v>12000</v>
      </c>
      <c r="G745" s="9">
        <f t="shared" si="105"/>
        <v>48000</v>
      </c>
      <c r="H745" s="69">
        <f t="shared" si="106"/>
        <v>1800</v>
      </c>
      <c r="I745" s="69">
        <f t="shared" si="104"/>
        <v>2400</v>
      </c>
      <c r="J745" s="54">
        <f t="shared" si="107"/>
        <v>3.0566037735849059</v>
      </c>
      <c r="K745" s="73">
        <f t="shared" si="108"/>
        <v>12.226415094339623</v>
      </c>
      <c r="L745" s="54">
        <f>+J745*E745</f>
        <v>12.226415094339623</v>
      </c>
      <c r="M745" s="245" t="s">
        <v>30</v>
      </c>
    </row>
    <row r="746" spans="1:13">
      <c r="A746" s="94" t="s">
        <v>561</v>
      </c>
      <c r="B746" s="95" t="s">
        <v>562</v>
      </c>
      <c r="C746" s="26" t="s">
        <v>563</v>
      </c>
      <c r="D746" s="104" t="s">
        <v>326</v>
      </c>
      <c r="E746" s="226">
        <v>4</v>
      </c>
      <c r="F746" s="223">
        <v>12000</v>
      </c>
      <c r="G746" s="2">
        <f t="shared" si="105"/>
        <v>48000</v>
      </c>
      <c r="H746" s="238">
        <f t="shared" si="106"/>
        <v>1800</v>
      </c>
      <c r="I746" s="51">
        <f t="shared" si="104"/>
        <v>2400</v>
      </c>
      <c r="J746" s="52">
        <f t="shared" si="107"/>
        <v>3.0566037735849059</v>
      </c>
      <c r="K746" s="53">
        <f t="shared" si="108"/>
        <v>12.226415094339623</v>
      </c>
      <c r="L746" s="52">
        <f>J746*E746</f>
        <v>12.226415094339623</v>
      </c>
      <c r="M746" s="245" t="s">
        <v>93</v>
      </c>
    </row>
    <row r="747" spans="1:13">
      <c r="A747" s="94" t="s">
        <v>561</v>
      </c>
      <c r="B747" s="95" t="s">
        <v>562</v>
      </c>
      <c r="C747" s="26" t="s">
        <v>563</v>
      </c>
      <c r="D747" s="26" t="s">
        <v>326</v>
      </c>
      <c r="E747" s="226">
        <v>4</v>
      </c>
      <c r="F747" s="223">
        <v>12000</v>
      </c>
      <c r="G747" s="2">
        <f t="shared" si="105"/>
        <v>48000</v>
      </c>
      <c r="H747" s="238">
        <f t="shared" si="106"/>
        <v>1800</v>
      </c>
      <c r="I747" s="51">
        <f>+F747*0.15</f>
        <v>1800</v>
      </c>
      <c r="J747" s="52">
        <f t="shared" si="107"/>
        <v>2.9433962264150941</v>
      </c>
      <c r="K747" s="52">
        <f t="shared" si="108"/>
        <v>11.773584905660377</v>
      </c>
      <c r="L747" s="219"/>
      <c r="M747" s="245" t="s">
        <v>87</v>
      </c>
    </row>
    <row r="748" spans="1:13">
      <c r="A748" s="94" t="s">
        <v>561</v>
      </c>
      <c r="B748" s="95" t="s">
        <v>562</v>
      </c>
      <c r="C748" s="26" t="s">
        <v>563</v>
      </c>
      <c r="D748" s="26" t="s">
        <v>326</v>
      </c>
      <c r="E748" s="226">
        <v>4</v>
      </c>
      <c r="F748" s="223">
        <v>12000</v>
      </c>
      <c r="G748" s="2">
        <f t="shared" si="105"/>
        <v>48000</v>
      </c>
      <c r="H748" s="238">
        <f t="shared" si="106"/>
        <v>1800</v>
      </c>
      <c r="I748" s="51">
        <f>+F748*0.2</f>
        <v>2400</v>
      </c>
      <c r="J748" s="128">
        <f t="shared" si="107"/>
        <v>3.0566037735849059</v>
      </c>
      <c r="K748" s="53">
        <f t="shared" si="108"/>
        <v>12.226415094339623</v>
      </c>
      <c r="L748" s="52">
        <f>E748*J748</f>
        <v>12.226415094339623</v>
      </c>
      <c r="M748" s="245" t="s">
        <v>15</v>
      </c>
    </row>
    <row r="749" spans="1:13">
      <c r="A749" s="218" t="s">
        <v>561</v>
      </c>
      <c r="B749" s="95" t="s">
        <v>562</v>
      </c>
      <c r="C749" s="26" t="s">
        <v>563</v>
      </c>
      <c r="D749" s="25" t="s">
        <v>326</v>
      </c>
      <c r="E749" s="49">
        <v>4</v>
      </c>
      <c r="F749" s="48">
        <v>12000</v>
      </c>
      <c r="G749" s="9">
        <f t="shared" si="105"/>
        <v>48000</v>
      </c>
      <c r="H749" s="51">
        <f t="shared" si="106"/>
        <v>1800</v>
      </c>
      <c r="I749" s="51">
        <f>+F749*0.15</f>
        <v>1800</v>
      </c>
      <c r="J749" s="128">
        <f t="shared" si="107"/>
        <v>2.9433962264150941</v>
      </c>
      <c r="K749" s="53">
        <f t="shared" si="108"/>
        <v>11.773584905660377</v>
      </c>
      <c r="L749" s="52">
        <f>J749*E749</f>
        <v>11.773584905660377</v>
      </c>
      <c r="M749" s="245" t="s">
        <v>17</v>
      </c>
    </row>
    <row r="750" spans="1:13">
      <c r="A750" s="218" t="s">
        <v>561</v>
      </c>
      <c r="B750" s="95" t="s">
        <v>562</v>
      </c>
      <c r="C750" s="26" t="s">
        <v>563</v>
      </c>
      <c r="D750" s="25" t="s">
        <v>326</v>
      </c>
      <c r="E750" s="49">
        <v>8</v>
      </c>
      <c r="F750" s="48">
        <v>12000</v>
      </c>
      <c r="G750" s="9">
        <f t="shared" si="105"/>
        <v>96000</v>
      </c>
      <c r="H750" s="51">
        <f t="shared" si="106"/>
        <v>1800</v>
      </c>
      <c r="I750" s="51">
        <f t="shared" ref="I750:I755" si="109">+F750*0.2</f>
        <v>2400</v>
      </c>
      <c r="J750" s="128">
        <f t="shared" si="107"/>
        <v>3.0566037735849059</v>
      </c>
      <c r="K750" s="53">
        <f t="shared" si="108"/>
        <v>24.452830188679247</v>
      </c>
      <c r="L750" s="52">
        <f>J750*E750</f>
        <v>24.452830188679247</v>
      </c>
      <c r="M750" s="245" t="s">
        <v>17</v>
      </c>
    </row>
    <row r="751" spans="1:13">
      <c r="A751" s="285">
        <v>3.9</v>
      </c>
      <c r="B751" s="265" t="s">
        <v>564</v>
      </c>
      <c r="C751" s="221" t="s">
        <v>565</v>
      </c>
      <c r="D751" s="266"/>
      <c r="E751" s="230"/>
      <c r="F751" s="268"/>
      <c r="G751" s="236"/>
      <c r="H751" s="239"/>
      <c r="I751" s="206">
        <f t="shared" si="109"/>
        <v>0</v>
      </c>
      <c r="J751" s="84"/>
      <c r="K751" s="241"/>
      <c r="L751" s="219"/>
      <c r="M751" s="245" t="s">
        <v>20</v>
      </c>
    </row>
    <row r="752" spans="1:13">
      <c r="A752" s="286">
        <v>3.9</v>
      </c>
      <c r="B752" s="265" t="s">
        <v>564</v>
      </c>
      <c r="C752" s="72" t="s">
        <v>565</v>
      </c>
      <c r="D752" s="225"/>
      <c r="E752" s="228"/>
      <c r="F752" s="225"/>
      <c r="G752" s="2"/>
      <c r="H752" s="51">
        <f>+F752*0.15</f>
        <v>0</v>
      </c>
      <c r="I752" s="51">
        <f t="shared" si="109"/>
        <v>0</v>
      </c>
      <c r="J752" s="52"/>
      <c r="K752" s="52"/>
      <c r="L752" s="219"/>
      <c r="M752" s="245" t="s">
        <v>89</v>
      </c>
    </row>
    <row r="753" spans="1:13">
      <c r="A753" s="285">
        <v>3.9</v>
      </c>
      <c r="B753" s="265" t="s">
        <v>564</v>
      </c>
      <c r="C753" s="72" t="s">
        <v>565</v>
      </c>
      <c r="D753" s="225"/>
      <c r="E753" s="228"/>
      <c r="F753" s="269"/>
      <c r="G753" s="2"/>
      <c r="H753" s="51"/>
      <c r="I753" s="51">
        <f t="shared" si="109"/>
        <v>0</v>
      </c>
      <c r="J753" s="241"/>
      <c r="K753" s="52"/>
      <c r="L753" s="219"/>
      <c r="M753" s="245" t="s">
        <v>23</v>
      </c>
    </row>
    <row r="754" spans="1:13">
      <c r="A754" s="287">
        <v>3.9</v>
      </c>
      <c r="B754" s="265" t="s">
        <v>564</v>
      </c>
      <c r="C754" s="72" t="s">
        <v>565</v>
      </c>
      <c r="D754" s="75"/>
      <c r="E754" s="64"/>
      <c r="F754" s="75"/>
      <c r="G754" s="9"/>
      <c r="H754" s="69"/>
      <c r="I754" s="69">
        <f t="shared" si="109"/>
        <v>0</v>
      </c>
      <c r="J754" s="54"/>
      <c r="K754" s="73"/>
      <c r="L754" s="54"/>
      <c r="M754" s="245" t="s">
        <v>30</v>
      </c>
    </row>
    <row r="755" spans="1:13">
      <c r="A755" s="285">
        <v>3.9</v>
      </c>
      <c r="B755" s="265" t="s">
        <v>564</v>
      </c>
      <c r="C755" s="72" t="s">
        <v>565</v>
      </c>
      <c r="D755" s="111"/>
      <c r="E755" s="228"/>
      <c r="F755" s="225"/>
      <c r="G755" s="2"/>
      <c r="H755" s="238">
        <f>+F755*0.15</f>
        <v>0</v>
      </c>
      <c r="I755" s="51">
        <f t="shared" si="109"/>
        <v>0</v>
      </c>
      <c r="J755" s="52"/>
      <c r="K755" s="53"/>
      <c r="L755" s="52"/>
      <c r="M755" s="245" t="s">
        <v>93</v>
      </c>
    </row>
    <row r="756" spans="1:13">
      <c r="A756" s="285">
        <v>3.9</v>
      </c>
      <c r="B756" s="265" t="s">
        <v>564</v>
      </c>
      <c r="C756" s="72" t="s">
        <v>565</v>
      </c>
      <c r="D756" s="225"/>
      <c r="E756" s="228"/>
      <c r="F756" s="225"/>
      <c r="G756" s="2"/>
      <c r="H756" s="238">
        <f>+F756*0.15</f>
        <v>0</v>
      </c>
      <c r="I756" s="51">
        <f>+F756*0.15</f>
        <v>0</v>
      </c>
      <c r="J756" s="52"/>
      <c r="K756" s="52"/>
      <c r="L756" s="219"/>
      <c r="M756" s="245" t="s">
        <v>87</v>
      </c>
    </row>
    <row r="757" spans="1:13">
      <c r="A757" s="285">
        <v>3.9</v>
      </c>
      <c r="B757" s="265" t="s">
        <v>564</v>
      </c>
      <c r="C757" s="72" t="s">
        <v>565</v>
      </c>
      <c r="D757" s="225"/>
      <c r="E757" s="228"/>
      <c r="F757" s="225"/>
      <c r="G757" s="2"/>
      <c r="H757" s="238"/>
      <c r="I757" s="51">
        <f>+F757*0.2</f>
        <v>0</v>
      </c>
      <c r="J757" s="128"/>
      <c r="K757" s="53"/>
      <c r="L757" s="52"/>
      <c r="M757" s="245" t="s">
        <v>15</v>
      </c>
    </row>
    <row r="758" spans="1:13">
      <c r="A758" s="287">
        <v>3.9</v>
      </c>
      <c r="B758" s="265" t="s">
        <v>564</v>
      </c>
      <c r="C758" s="72" t="s">
        <v>565</v>
      </c>
      <c r="D758" s="75"/>
      <c r="E758" s="64"/>
      <c r="F758" s="75"/>
      <c r="G758" s="9">
        <f>F758*E758</f>
        <v>0</v>
      </c>
      <c r="H758" s="51"/>
      <c r="I758" s="51">
        <f>+F758*0.15</f>
        <v>0</v>
      </c>
      <c r="J758" s="128"/>
      <c r="K758" s="53"/>
      <c r="L758" s="52"/>
      <c r="M758" s="245" t="s">
        <v>17</v>
      </c>
    </row>
    <row r="759" spans="1:13">
      <c r="A759" s="287">
        <v>3.9</v>
      </c>
      <c r="B759" s="265" t="s">
        <v>564</v>
      </c>
      <c r="C759" s="72" t="s">
        <v>565</v>
      </c>
      <c r="D759" s="75"/>
      <c r="E759" s="64"/>
      <c r="F759" s="75"/>
      <c r="G759" s="9"/>
      <c r="H759" s="51"/>
      <c r="I759" s="51">
        <f t="shared" ref="I759:I765" si="110">+F759*0.2</f>
        <v>0</v>
      </c>
      <c r="J759" s="128"/>
      <c r="K759" s="53"/>
      <c r="L759" s="52"/>
      <c r="M759" s="245" t="s">
        <v>17</v>
      </c>
    </row>
    <row r="760" spans="1:13">
      <c r="A760" s="151" t="s">
        <v>566</v>
      </c>
      <c r="B760" s="27" t="s">
        <v>567</v>
      </c>
      <c r="C760" s="26" t="s">
        <v>568</v>
      </c>
      <c r="D760" s="25" t="s">
        <v>326</v>
      </c>
      <c r="E760" s="49">
        <v>2</v>
      </c>
      <c r="F760" s="48">
        <v>60000</v>
      </c>
      <c r="G760" s="9">
        <f t="shared" ref="G760:G778" si="111">F760*E760</f>
        <v>120000</v>
      </c>
      <c r="H760" s="51">
        <f t="shared" ref="H760:H778" si="112">+F760*0.15</f>
        <v>9000</v>
      </c>
      <c r="I760" s="51">
        <f t="shared" si="110"/>
        <v>12000</v>
      </c>
      <c r="J760" s="128">
        <f>+(I760+H760+F760)/5300</f>
        <v>15.283018867924529</v>
      </c>
      <c r="K760" s="53">
        <f>+J760*E760</f>
        <v>30.566037735849058</v>
      </c>
      <c r="L760" s="52">
        <f>J760*E760</f>
        <v>30.566037735849058</v>
      </c>
      <c r="M760" s="245" t="s">
        <v>17</v>
      </c>
    </row>
    <row r="761" spans="1:13">
      <c r="A761" s="94" t="s">
        <v>569</v>
      </c>
      <c r="B761" s="27" t="s">
        <v>567</v>
      </c>
      <c r="C761" s="207" t="s">
        <v>568</v>
      </c>
      <c r="D761" s="207" t="s">
        <v>326</v>
      </c>
      <c r="E761" s="227">
        <v>2</v>
      </c>
      <c r="F761" s="236">
        <v>35000</v>
      </c>
      <c r="G761" s="236">
        <f t="shared" si="111"/>
        <v>70000</v>
      </c>
      <c r="H761" s="239">
        <f t="shared" si="112"/>
        <v>5250</v>
      </c>
      <c r="I761" s="206">
        <f t="shared" si="110"/>
        <v>7000</v>
      </c>
      <c r="J761" s="84">
        <f t="shared" ref="J761:J775" si="113">+(F761+H761+I761)/5300</f>
        <v>8.915094339622641</v>
      </c>
      <c r="K761" s="241">
        <f>J761*E761</f>
        <v>17.830188679245282</v>
      </c>
      <c r="L761" s="219"/>
      <c r="M761" s="245" t="s">
        <v>20</v>
      </c>
    </row>
    <row r="762" spans="1:13">
      <c r="A762" s="1" t="s">
        <v>569</v>
      </c>
      <c r="B762" s="27" t="s">
        <v>567</v>
      </c>
      <c r="C762" s="26" t="s">
        <v>568</v>
      </c>
      <c r="D762" s="26" t="s">
        <v>326</v>
      </c>
      <c r="E762" s="226">
        <v>2</v>
      </c>
      <c r="F762" s="223">
        <v>35000</v>
      </c>
      <c r="G762" s="2">
        <f t="shared" si="111"/>
        <v>70000</v>
      </c>
      <c r="H762" s="51">
        <f t="shared" si="112"/>
        <v>5250</v>
      </c>
      <c r="I762" s="51">
        <f t="shared" si="110"/>
        <v>7000</v>
      </c>
      <c r="J762" s="52">
        <f t="shared" si="113"/>
        <v>8.915094339622641</v>
      </c>
      <c r="K762" s="52">
        <f t="shared" ref="K762:K773" si="114">+J762*E762</f>
        <v>17.830188679245282</v>
      </c>
      <c r="L762" s="219"/>
      <c r="M762" s="245" t="s">
        <v>89</v>
      </c>
    </row>
    <row r="763" spans="1:13">
      <c r="A763" s="94" t="s">
        <v>569</v>
      </c>
      <c r="B763" s="27" t="s">
        <v>567</v>
      </c>
      <c r="C763" s="26" t="s">
        <v>568</v>
      </c>
      <c r="D763" s="26" t="s">
        <v>326</v>
      </c>
      <c r="E763" s="226">
        <v>5</v>
      </c>
      <c r="F763" s="235">
        <v>35000</v>
      </c>
      <c r="G763" s="2">
        <f t="shared" si="111"/>
        <v>175000</v>
      </c>
      <c r="H763" s="51">
        <f t="shared" si="112"/>
        <v>5250</v>
      </c>
      <c r="I763" s="51">
        <f t="shared" si="110"/>
        <v>7000</v>
      </c>
      <c r="J763" s="241">
        <f t="shared" si="113"/>
        <v>8.915094339622641</v>
      </c>
      <c r="K763" s="52">
        <f t="shared" si="114"/>
        <v>44.575471698113205</v>
      </c>
      <c r="L763" s="219"/>
      <c r="M763" s="245" t="s">
        <v>23</v>
      </c>
    </row>
    <row r="764" spans="1:13">
      <c r="A764" s="218" t="s">
        <v>569</v>
      </c>
      <c r="B764" s="27" t="s">
        <v>567</v>
      </c>
      <c r="C764" s="26" t="s">
        <v>568</v>
      </c>
      <c r="D764" s="25" t="s">
        <v>326</v>
      </c>
      <c r="E764" s="49">
        <v>2</v>
      </c>
      <c r="F764" s="48">
        <v>35000</v>
      </c>
      <c r="G764" s="9">
        <f t="shared" si="111"/>
        <v>70000</v>
      </c>
      <c r="H764" s="69">
        <f t="shared" si="112"/>
        <v>5250</v>
      </c>
      <c r="I764" s="69">
        <f t="shared" si="110"/>
        <v>7000</v>
      </c>
      <c r="J764" s="54">
        <f t="shared" si="113"/>
        <v>8.915094339622641</v>
      </c>
      <c r="K764" s="73">
        <f t="shared" si="114"/>
        <v>17.830188679245282</v>
      </c>
      <c r="L764" s="54">
        <f>+J764*E764</f>
        <v>17.830188679245282</v>
      </c>
      <c r="M764" s="245" t="s">
        <v>30</v>
      </c>
    </row>
    <row r="765" spans="1:13">
      <c r="A765" s="94" t="s">
        <v>569</v>
      </c>
      <c r="B765" s="27" t="s">
        <v>567</v>
      </c>
      <c r="C765" s="26" t="s">
        <v>568</v>
      </c>
      <c r="D765" s="104" t="s">
        <v>326</v>
      </c>
      <c r="E765" s="226">
        <v>2</v>
      </c>
      <c r="F765" s="223">
        <v>35000</v>
      </c>
      <c r="G765" s="2">
        <f t="shared" si="111"/>
        <v>70000</v>
      </c>
      <c r="H765" s="238">
        <f t="shared" si="112"/>
        <v>5250</v>
      </c>
      <c r="I765" s="51">
        <f t="shared" si="110"/>
        <v>7000</v>
      </c>
      <c r="J765" s="52">
        <f t="shared" si="113"/>
        <v>8.915094339622641</v>
      </c>
      <c r="K765" s="53">
        <f t="shared" si="114"/>
        <v>17.830188679245282</v>
      </c>
      <c r="L765" s="52">
        <f>J765*E765</f>
        <v>17.830188679245282</v>
      </c>
      <c r="M765" s="245" t="s">
        <v>93</v>
      </c>
    </row>
    <row r="766" spans="1:13">
      <c r="A766" s="94" t="s">
        <v>569</v>
      </c>
      <c r="B766" s="27" t="s">
        <v>567</v>
      </c>
      <c r="C766" s="26" t="s">
        <v>568</v>
      </c>
      <c r="D766" s="26" t="s">
        <v>326</v>
      </c>
      <c r="E766" s="226">
        <v>2</v>
      </c>
      <c r="F766" s="223">
        <v>35000</v>
      </c>
      <c r="G766" s="2">
        <f t="shared" si="111"/>
        <v>70000</v>
      </c>
      <c r="H766" s="238">
        <f t="shared" si="112"/>
        <v>5250</v>
      </c>
      <c r="I766" s="51">
        <f>+F766*0.15</f>
        <v>5250</v>
      </c>
      <c r="J766" s="52">
        <f t="shared" si="113"/>
        <v>8.584905660377359</v>
      </c>
      <c r="K766" s="52">
        <f t="shared" si="114"/>
        <v>17.169811320754718</v>
      </c>
      <c r="L766" s="219"/>
      <c r="M766" s="245" t="s">
        <v>87</v>
      </c>
    </row>
    <row r="767" spans="1:13">
      <c r="A767" s="94" t="s">
        <v>569</v>
      </c>
      <c r="B767" s="27" t="s">
        <v>567</v>
      </c>
      <c r="C767" s="26" t="s">
        <v>568</v>
      </c>
      <c r="D767" s="26" t="s">
        <v>326</v>
      </c>
      <c r="E767" s="226">
        <v>2</v>
      </c>
      <c r="F767" s="223">
        <v>35000</v>
      </c>
      <c r="G767" s="2">
        <f t="shared" si="111"/>
        <v>70000</v>
      </c>
      <c r="H767" s="238">
        <f t="shared" si="112"/>
        <v>5250</v>
      </c>
      <c r="I767" s="51">
        <f>+F767*0.2</f>
        <v>7000</v>
      </c>
      <c r="J767" s="128">
        <f t="shared" si="113"/>
        <v>8.915094339622641</v>
      </c>
      <c r="K767" s="53">
        <f t="shared" si="114"/>
        <v>17.830188679245282</v>
      </c>
      <c r="L767" s="52">
        <f>E767*J767</f>
        <v>17.830188679245282</v>
      </c>
      <c r="M767" s="245" t="s">
        <v>15</v>
      </c>
    </row>
    <row r="768" spans="1:13">
      <c r="A768" s="218" t="s">
        <v>569</v>
      </c>
      <c r="B768" s="27" t="s">
        <v>567</v>
      </c>
      <c r="C768" s="26" t="s">
        <v>568</v>
      </c>
      <c r="D768" s="25" t="s">
        <v>326</v>
      </c>
      <c r="E768" s="49">
        <v>2</v>
      </c>
      <c r="F768" s="48">
        <v>35000</v>
      </c>
      <c r="G768" s="9">
        <f t="shared" si="111"/>
        <v>70000</v>
      </c>
      <c r="H768" s="51">
        <f t="shared" si="112"/>
        <v>5250</v>
      </c>
      <c r="I768" s="51">
        <f>+F768*0.15</f>
        <v>5250</v>
      </c>
      <c r="J768" s="128">
        <f t="shared" si="113"/>
        <v>8.584905660377359</v>
      </c>
      <c r="K768" s="53">
        <f t="shared" si="114"/>
        <v>17.169811320754718</v>
      </c>
      <c r="L768" s="52">
        <f>J768*E768</f>
        <v>17.169811320754718</v>
      </c>
      <c r="M768" s="245" t="s">
        <v>17</v>
      </c>
    </row>
    <row r="769" spans="1:13">
      <c r="A769" s="218" t="s">
        <v>569</v>
      </c>
      <c r="B769" s="27" t="s">
        <v>567</v>
      </c>
      <c r="C769" s="26" t="s">
        <v>568</v>
      </c>
      <c r="D769" s="25" t="s">
        <v>326</v>
      </c>
      <c r="E769" s="49">
        <v>4</v>
      </c>
      <c r="F769" s="48">
        <v>35000</v>
      </c>
      <c r="G769" s="9">
        <f t="shared" si="111"/>
        <v>140000</v>
      </c>
      <c r="H769" s="51">
        <f t="shared" si="112"/>
        <v>5250</v>
      </c>
      <c r="I769" s="51">
        <f>+F769*0.2</f>
        <v>7000</v>
      </c>
      <c r="J769" s="128">
        <f t="shared" si="113"/>
        <v>8.915094339622641</v>
      </c>
      <c r="K769" s="53">
        <f t="shared" si="114"/>
        <v>35.660377358490564</v>
      </c>
      <c r="L769" s="52">
        <f>J769*E769</f>
        <v>35.660377358490564</v>
      </c>
      <c r="M769" s="245" t="s">
        <v>17</v>
      </c>
    </row>
    <row r="770" spans="1:13">
      <c r="A770" s="280" t="s">
        <v>566</v>
      </c>
      <c r="B770" s="27" t="s">
        <v>570</v>
      </c>
      <c r="C770" s="207" t="s">
        <v>571</v>
      </c>
      <c r="D770" s="207" t="s">
        <v>326</v>
      </c>
      <c r="E770" s="227">
        <v>1</v>
      </c>
      <c r="F770" s="236">
        <v>35000</v>
      </c>
      <c r="G770" s="236">
        <f t="shared" si="111"/>
        <v>35000</v>
      </c>
      <c r="H770" s="239">
        <f t="shared" si="112"/>
        <v>5250</v>
      </c>
      <c r="I770" s="206">
        <f>+F770*0.2</f>
        <v>7000</v>
      </c>
      <c r="J770" s="84">
        <f t="shared" si="113"/>
        <v>8.915094339622641</v>
      </c>
      <c r="K770" s="241">
        <f t="shared" si="114"/>
        <v>8.915094339622641</v>
      </c>
      <c r="L770" s="219"/>
      <c r="M770" s="245" t="s">
        <v>20</v>
      </c>
    </row>
    <row r="771" spans="1:13" s="340" customFormat="1">
      <c r="A771" s="281" t="s">
        <v>566</v>
      </c>
      <c r="B771" s="27" t="s">
        <v>570</v>
      </c>
      <c r="C771" s="26" t="s">
        <v>571</v>
      </c>
      <c r="D771" s="26" t="s">
        <v>326</v>
      </c>
      <c r="E771" s="226">
        <v>1</v>
      </c>
      <c r="F771" s="223">
        <v>35000</v>
      </c>
      <c r="G771" s="2">
        <f t="shared" si="111"/>
        <v>35000</v>
      </c>
      <c r="H771" s="51">
        <f t="shared" si="112"/>
        <v>5250</v>
      </c>
      <c r="I771" s="51">
        <f>+F771*0.2</f>
        <v>7000</v>
      </c>
      <c r="J771" s="52">
        <f t="shared" si="113"/>
        <v>8.915094339622641</v>
      </c>
      <c r="K771" s="52">
        <f t="shared" si="114"/>
        <v>8.915094339622641</v>
      </c>
      <c r="L771" s="219"/>
      <c r="M771" s="245" t="s">
        <v>89</v>
      </c>
    </row>
    <row r="772" spans="1:13" s="340" customFormat="1">
      <c r="A772" s="280" t="s">
        <v>566</v>
      </c>
      <c r="B772" s="27" t="s">
        <v>570</v>
      </c>
      <c r="C772" s="26" t="s">
        <v>571</v>
      </c>
      <c r="D772" s="26" t="s">
        <v>326</v>
      </c>
      <c r="E772" s="226">
        <v>1</v>
      </c>
      <c r="F772" s="223">
        <v>35000</v>
      </c>
      <c r="G772" s="2">
        <f t="shared" si="111"/>
        <v>35000</v>
      </c>
      <c r="H772" s="238">
        <f t="shared" si="112"/>
        <v>5250</v>
      </c>
      <c r="I772" s="51">
        <f>+F772*0.15</f>
        <v>5250</v>
      </c>
      <c r="J772" s="240">
        <f t="shared" si="113"/>
        <v>8.584905660377359</v>
      </c>
      <c r="K772" s="51">
        <f t="shared" si="114"/>
        <v>8.584905660377359</v>
      </c>
      <c r="L772" s="240">
        <f>+E772*J772</f>
        <v>8.584905660377359</v>
      </c>
      <c r="M772" s="245" t="s">
        <v>117</v>
      </c>
    </row>
    <row r="773" spans="1:13" s="340" customFormat="1">
      <c r="A773" s="281" t="s">
        <v>566</v>
      </c>
      <c r="B773" s="27" t="s">
        <v>570</v>
      </c>
      <c r="C773" s="26" t="s">
        <v>571</v>
      </c>
      <c r="D773" s="26" t="s">
        <v>326</v>
      </c>
      <c r="E773" s="223">
        <v>1</v>
      </c>
      <c r="F773" s="223">
        <v>35000</v>
      </c>
      <c r="G773" s="2">
        <f t="shared" si="111"/>
        <v>35000</v>
      </c>
      <c r="H773" s="238">
        <f t="shared" si="112"/>
        <v>5250</v>
      </c>
      <c r="I773" s="51">
        <f t="shared" ref="I773:I778" si="115">+F773*0.2</f>
        <v>7000</v>
      </c>
      <c r="J773" s="52">
        <f t="shared" si="113"/>
        <v>8.915094339622641</v>
      </c>
      <c r="K773" s="53">
        <f t="shared" si="114"/>
        <v>8.915094339622641</v>
      </c>
      <c r="L773" s="52">
        <f>J773*E773</f>
        <v>8.915094339622641</v>
      </c>
      <c r="M773" s="245" t="s">
        <v>118</v>
      </c>
    </row>
    <row r="774" spans="1:13" s="340" customFormat="1">
      <c r="A774" s="280" t="s">
        <v>566</v>
      </c>
      <c r="B774" s="27" t="s">
        <v>570</v>
      </c>
      <c r="C774" s="26" t="s">
        <v>571</v>
      </c>
      <c r="D774" s="26" t="s">
        <v>326</v>
      </c>
      <c r="E774" s="226">
        <v>1</v>
      </c>
      <c r="F774" s="235">
        <v>35000</v>
      </c>
      <c r="G774" s="2">
        <f t="shared" si="111"/>
        <v>35000</v>
      </c>
      <c r="H774" s="51">
        <f t="shared" si="112"/>
        <v>5250</v>
      </c>
      <c r="I774" s="51">
        <f t="shared" si="115"/>
        <v>7000</v>
      </c>
      <c r="J774" s="84">
        <f t="shared" si="113"/>
        <v>8.915094339622641</v>
      </c>
      <c r="K774" s="52">
        <f>J774*E774</f>
        <v>8.915094339622641</v>
      </c>
      <c r="L774" s="219"/>
      <c r="M774" s="245" t="s">
        <v>23</v>
      </c>
    </row>
    <row r="775" spans="1:13" s="340" customFormat="1">
      <c r="A775" s="151" t="s">
        <v>566</v>
      </c>
      <c r="B775" s="27" t="s">
        <v>570</v>
      </c>
      <c r="C775" s="26" t="s">
        <v>571</v>
      </c>
      <c r="D775" s="25" t="s">
        <v>326</v>
      </c>
      <c r="E775" s="49">
        <v>1</v>
      </c>
      <c r="F775" s="48">
        <v>35000</v>
      </c>
      <c r="G775" s="9">
        <f t="shared" si="111"/>
        <v>35000</v>
      </c>
      <c r="H775" s="51">
        <f t="shared" si="112"/>
        <v>5250</v>
      </c>
      <c r="I775" s="51">
        <f t="shared" si="115"/>
        <v>7000</v>
      </c>
      <c r="J775" s="52">
        <f t="shared" si="113"/>
        <v>8.915094339622641</v>
      </c>
      <c r="K775" s="53">
        <f>+J775*E775</f>
        <v>8.915094339622641</v>
      </c>
      <c r="L775" s="54">
        <f>+J775*E775</f>
        <v>8.915094339622641</v>
      </c>
      <c r="M775" s="245" t="s">
        <v>30</v>
      </c>
    </row>
    <row r="776" spans="1:13" s="340" customFormat="1">
      <c r="A776" s="280" t="s">
        <v>566</v>
      </c>
      <c r="B776" s="27" t="s">
        <v>570</v>
      </c>
      <c r="C776" s="26" t="s">
        <v>571</v>
      </c>
      <c r="D776" s="104" t="s">
        <v>326</v>
      </c>
      <c r="E776" s="226">
        <v>1</v>
      </c>
      <c r="F776" s="223">
        <v>35000</v>
      </c>
      <c r="G776" s="2">
        <f t="shared" si="111"/>
        <v>35000</v>
      </c>
      <c r="H776" s="238">
        <f t="shared" si="112"/>
        <v>5250</v>
      </c>
      <c r="I776" s="51">
        <f t="shared" si="115"/>
        <v>7000</v>
      </c>
      <c r="J776" s="52">
        <f>+(H776+I776+F776)/5300</f>
        <v>8.915094339622641</v>
      </c>
      <c r="K776" s="53">
        <f>+J776*E776</f>
        <v>8.915094339622641</v>
      </c>
      <c r="L776" s="52">
        <f>E776*J776</f>
        <v>8.915094339622641</v>
      </c>
      <c r="M776" s="245" t="s">
        <v>93</v>
      </c>
    </row>
    <row r="777" spans="1:13" s="340" customFormat="1">
      <c r="A777" s="280" t="s">
        <v>566</v>
      </c>
      <c r="B777" s="27" t="s">
        <v>570</v>
      </c>
      <c r="C777" s="26" t="s">
        <v>571</v>
      </c>
      <c r="D777" s="26" t="s">
        <v>326</v>
      </c>
      <c r="E777" s="226">
        <v>1</v>
      </c>
      <c r="F777" s="223">
        <v>35000</v>
      </c>
      <c r="G777" s="2">
        <f t="shared" si="111"/>
        <v>35000</v>
      </c>
      <c r="H777" s="238">
        <f t="shared" si="112"/>
        <v>5250</v>
      </c>
      <c r="I777" s="51">
        <f t="shared" si="115"/>
        <v>7000</v>
      </c>
      <c r="J777" s="52">
        <f>+(F777+H777+I777)/5300</f>
        <v>8.915094339622641</v>
      </c>
      <c r="K777" s="52">
        <f>+J777*E777</f>
        <v>8.915094339622641</v>
      </c>
      <c r="L777" s="219"/>
      <c r="M777" s="245" t="s">
        <v>87</v>
      </c>
    </row>
    <row r="778" spans="1:13" s="340" customFormat="1">
      <c r="A778" s="280" t="s">
        <v>566</v>
      </c>
      <c r="B778" s="27" t="s">
        <v>570</v>
      </c>
      <c r="C778" s="26" t="s">
        <v>571</v>
      </c>
      <c r="D778" s="26" t="s">
        <v>326</v>
      </c>
      <c r="E778" s="226">
        <v>1</v>
      </c>
      <c r="F778" s="223">
        <v>35000</v>
      </c>
      <c r="G778" s="2">
        <f t="shared" si="111"/>
        <v>35000</v>
      </c>
      <c r="H778" s="238">
        <f t="shared" si="112"/>
        <v>5250</v>
      </c>
      <c r="I778" s="51">
        <f t="shared" si="115"/>
        <v>7000</v>
      </c>
      <c r="J778" s="128">
        <f>+(F778+H778+I778)/5300</f>
        <v>8.915094339622641</v>
      </c>
      <c r="K778" s="53">
        <f>+J778*E778</f>
        <v>8.915094339622641</v>
      </c>
      <c r="L778" s="52">
        <f>E778*J778</f>
        <v>8.915094339622641</v>
      </c>
      <c r="M778" s="245" t="s">
        <v>15</v>
      </c>
    </row>
    <row r="779" spans="1:13" s="340" customFormat="1">
      <c r="A779" s="218">
        <v>3.1</v>
      </c>
      <c r="B779" s="27" t="s">
        <v>572</v>
      </c>
      <c r="C779" s="29" t="s">
        <v>18</v>
      </c>
      <c r="D779" s="32" t="s">
        <v>232</v>
      </c>
      <c r="E779" s="229">
        <v>80</v>
      </c>
      <c r="F779" s="32"/>
      <c r="G779" s="32"/>
      <c r="H779" s="238"/>
      <c r="I779" s="25"/>
      <c r="J779" s="86">
        <v>14.15</v>
      </c>
      <c r="K779" s="32"/>
      <c r="L779" s="52">
        <f>+J779*E779</f>
        <v>1132</v>
      </c>
      <c r="M779" s="245" t="s">
        <v>15</v>
      </c>
    </row>
    <row r="780" spans="1:13" s="340" customFormat="1">
      <c r="A780" s="151" t="s">
        <v>573</v>
      </c>
      <c r="B780" s="13" t="s">
        <v>574</v>
      </c>
      <c r="C780" s="146" t="s">
        <v>575</v>
      </c>
      <c r="D780" s="146"/>
      <c r="E780" s="213"/>
      <c r="F780" s="236"/>
      <c r="G780" s="236"/>
      <c r="H780" s="239"/>
      <c r="I780" s="206">
        <f t="shared" ref="I780:I785" si="116">+F780*0.2</f>
        <v>0</v>
      </c>
      <c r="J780" s="84"/>
      <c r="K780" s="241"/>
      <c r="L780" s="219"/>
      <c r="M780" s="245" t="s">
        <v>20</v>
      </c>
    </row>
    <row r="781" spans="1:13">
      <c r="A781" s="151" t="s">
        <v>573</v>
      </c>
      <c r="B781" s="13" t="s">
        <v>574</v>
      </c>
      <c r="C781" s="6" t="s">
        <v>575</v>
      </c>
      <c r="D781" s="6"/>
      <c r="E781" s="45"/>
      <c r="F781" s="223"/>
      <c r="G781" s="2"/>
      <c r="H781" s="51">
        <f>+F781*0.15</f>
        <v>0</v>
      </c>
      <c r="I781" s="51">
        <f t="shared" si="116"/>
        <v>0</v>
      </c>
      <c r="J781" s="52"/>
      <c r="K781" s="52"/>
      <c r="L781" s="219"/>
      <c r="M781" s="245" t="s">
        <v>89</v>
      </c>
    </row>
    <row r="782" spans="1:13">
      <c r="A782" s="151" t="s">
        <v>573</v>
      </c>
      <c r="B782" s="13" t="s">
        <v>574</v>
      </c>
      <c r="C782" s="6" t="s">
        <v>575</v>
      </c>
      <c r="D782" s="6"/>
      <c r="E782" s="45"/>
      <c r="F782" s="235"/>
      <c r="G782" s="2"/>
      <c r="H782" s="51"/>
      <c r="I782" s="51">
        <f t="shared" si="116"/>
        <v>0</v>
      </c>
      <c r="J782" s="241"/>
      <c r="K782" s="52"/>
      <c r="L782" s="219"/>
      <c r="M782" s="245" t="s">
        <v>23</v>
      </c>
    </row>
    <row r="783" spans="1:13">
      <c r="A783" s="151" t="s">
        <v>573</v>
      </c>
      <c r="B783" s="13" t="s">
        <v>574</v>
      </c>
      <c r="C783" s="6" t="s">
        <v>575</v>
      </c>
      <c r="D783" s="23"/>
      <c r="E783" s="65"/>
      <c r="F783" s="48"/>
      <c r="G783" s="9"/>
      <c r="H783" s="69"/>
      <c r="I783" s="69">
        <f t="shared" si="116"/>
        <v>0</v>
      </c>
      <c r="J783" s="54"/>
      <c r="K783" s="73"/>
      <c r="L783" s="54"/>
      <c r="M783" s="245" t="s">
        <v>30</v>
      </c>
    </row>
    <row r="784" spans="1:13">
      <c r="A784" s="151" t="s">
        <v>573</v>
      </c>
      <c r="B784" s="13" t="s">
        <v>574</v>
      </c>
      <c r="C784" s="6" t="s">
        <v>575</v>
      </c>
      <c r="D784" s="6"/>
      <c r="E784" s="45"/>
      <c r="F784" s="223"/>
      <c r="G784" s="2"/>
      <c r="H784" s="238"/>
      <c r="I784" s="51">
        <f t="shared" si="116"/>
        <v>0</v>
      </c>
      <c r="J784" s="52"/>
      <c r="K784" s="52"/>
      <c r="L784" s="219"/>
      <c r="M784" s="245" t="s">
        <v>87</v>
      </c>
    </row>
    <row r="785" spans="1:13">
      <c r="A785" s="151" t="s">
        <v>573</v>
      </c>
      <c r="B785" s="13" t="s">
        <v>574</v>
      </c>
      <c r="C785" s="6" t="s">
        <v>575</v>
      </c>
      <c r="D785" s="6"/>
      <c r="E785" s="45"/>
      <c r="F785" s="223"/>
      <c r="G785" s="2"/>
      <c r="H785" s="238"/>
      <c r="I785" s="51">
        <f t="shared" si="116"/>
        <v>0</v>
      </c>
      <c r="J785" s="128"/>
      <c r="K785" s="53"/>
      <c r="L785" s="52"/>
      <c r="M785" s="245" t="s">
        <v>15</v>
      </c>
    </row>
    <row r="786" spans="1:13">
      <c r="A786" s="151" t="s">
        <v>573</v>
      </c>
      <c r="B786" s="13" t="s">
        <v>574</v>
      </c>
      <c r="C786" s="6" t="s">
        <v>575</v>
      </c>
      <c r="D786" s="23"/>
      <c r="E786" s="65"/>
      <c r="F786" s="48"/>
      <c r="G786" s="9">
        <f>F786*E786</f>
        <v>0</v>
      </c>
      <c r="H786" s="51"/>
      <c r="I786" s="51">
        <f>+F786*0.15</f>
        <v>0</v>
      </c>
      <c r="J786" s="128"/>
      <c r="K786" s="53"/>
      <c r="L786" s="52"/>
      <c r="M786" s="245" t="s">
        <v>17</v>
      </c>
    </row>
    <row r="787" spans="1:13">
      <c r="A787" s="151" t="s">
        <v>573</v>
      </c>
      <c r="B787" s="13" t="s">
        <v>574</v>
      </c>
      <c r="C787" s="6" t="s">
        <v>575</v>
      </c>
      <c r="D787" s="23"/>
      <c r="E787" s="65"/>
      <c r="F787" s="48"/>
      <c r="G787" s="9"/>
      <c r="H787" s="51"/>
      <c r="I787" s="51">
        <f t="shared" ref="I787:I793" si="117">+F787*0.2</f>
        <v>0</v>
      </c>
      <c r="J787" s="128"/>
      <c r="K787" s="53"/>
      <c r="L787" s="52"/>
      <c r="M787" s="245" t="s">
        <v>17</v>
      </c>
    </row>
    <row r="788" spans="1:13">
      <c r="A788" s="280" t="s">
        <v>573</v>
      </c>
      <c r="B788" s="13" t="s">
        <v>574</v>
      </c>
      <c r="C788" s="6" t="s">
        <v>575</v>
      </c>
      <c r="D788" s="156"/>
      <c r="E788" s="45"/>
      <c r="F788" s="223"/>
      <c r="G788" s="2"/>
      <c r="H788" s="238">
        <f t="shared" ref="H788:H834" si="118">+F788*0.15</f>
        <v>0</v>
      </c>
      <c r="I788" s="51">
        <f t="shared" si="117"/>
        <v>0</v>
      </c>
      <c r="J788" s="52"/>
      <c r="K788" s="53"/>
      <c r="L788" s="52"/>
      <c r="M788" s="245" t="s">
        <v>93</v>
      </c>
    </row>
    <row r="789" spans="1:13">
      <c r="A789" s="94" t="s">
        <v>576</v>
      </c>
      <c r="B789" s="95" t="s">
        <v>577</v>
      </c>
      <c r="C789" s="207" t="s">
        <v>578</v>
      </c>
      <c r="D789" s="207" t="s">
        <v>326</v>
      </c>
      <c r="E789" s="227">
        <v>4</v>
      </c>
      <c r="F789" s="236">
        <v>5000</v>
      </c>
      <c r="G789" s="236">
        <f t="shared" ref="G789:G814" si="119">F789*E789</f>
        <v>20000</v>
      </c>
      <c r="H789" s="239">
        <f t="shared" si="118"/>
        <v>750</v>
      </c>
      <c r="I789" s="206">
        <f t="shared" si="117"/>
        <v>1000</v>
      </c>
      <c r="J789" s="84">
        <f t="shared" ref="J789:J805" si="120">+(F789+H789+I789)/5300</f>
        <v>1.2735849056603774</v>
      </c>
      <c r="K789" s="241">
        <f>J789*E789</f>
        <v>5.0943396226415096</v>
      </c>
      <c r="L789" s="219"/>
      <c r="M789" s="245" t="s">
        <v>20</v>
      </c>
    </row>
    <row r="790" spans="1:13">
      <c r="A790" s="1" t="s">
        <v>576</v>
      </c>
      <c r="B790" s="95" t="s">
        <v>577</v>
      </c>
      <c r="C790" s="26" t="s">
        <v>578</v>
      </c>
      <c r="D790" s="26" t="s">
        <v>326</v>
      </c>
      <c r="E790" s="226">
        <v>4</v>
      </c>
      <c r="F790" s="223">
        <v>5000</v>
      </c>
      <c r="G790" s="2">
        <f t="shared" si="119"/>
        <v>20000</v>
      </c>
      <c r="H790" s="51">
        <f t="shared" si="118"/>
        <v>750</v>
      </c>
      <c r="I790" s="51">
        <f t="shared" si="117"/>
        <v>1000</v>
      </c>
      <c r="J790" s="52">
        <f t="shared" si="120"/>
        <v>1.2735849056603774</v>
      </c>
      <c r="K790" s="52">
        <f t="shared" ref="K790:K803" si="121">+J790*E790</f>
        <v>5.0943396226415096</v>
      </c>
      <c r="L790" s="219"/>
      <c r="M790" s="245" t="s">
        <v>89</v>
      </c>
    </row>
    <row r="791" spans="1:13">
      <c r="A791" s="94" t="s">
        <v>576</v>
      </c>
      <c r="B791" s="95" t="s">
        <v>577</v>
      </c>
      <c r="C791" s="26" t="s">
        <v>578</v>
      </c>
      <c r="D791" s="26" t="s">
        <v>326</v>
      </c>
      <c r="E791" s="226">
        <v>4</v>
      </c>
      <c r="F791" s="235">
        <v>5000</v>
      </c>
      <c r="G791" s="2">
        <f t="shared" si="119"/>
        <v>20000</v>
      </c>
      <c r="H791" s="51">
        <f t="shared" si="118"/>
        <v>750</v>
      </c>
      <c r="I791" s="51">
        <f t="shared" si="117"/>
        <v>1000</v>
      </c>
      <c r="J791" s="241">
        <f t="shared" si="120"/>
        <v>1.2735849056603774</v>
      </c>
      <c r="K791" s="52">
        <f t="shared" si="121"/>
        <v>5.0943396226415096</v>
      </c>
      <c r="L791" s="219"/>
      <c r="M791" s="245" t="s">
        <v>23</v>
      </c>
    </row>
    <row r="792" spans="1:13">
      <c r="A792" s="218" t="s">
        <v>576</v>
      </c>
      <c r="B792" s="95" t="s">
        <v>577</v>
      </c>
      <c r="C792" s="26" t="s">
        <v>578</v>
      </c>
      <c r="D792" s="25" t="s">
        <v>326</v>
      </c>
      <c r="E792" s="49">
        <v>4</v>
      </c>
      <c r="F792" s="48">
        <v>5000</v>
      </c>
      <c r="G792" s="9">
        <f t="shared" si="119"/>
        <v>20000</v>
      </c>
      <c r="H792" s="69">
        <f t="shared" si="118"/>
        <v>750</v>
      </c>
      <c r="I792" s="69">
        <f t="shared" si="117"/>
        <v>1000</v>
      </c>
      <c r="J792" s="54">
        <f t="shared" si="120"/>
        <v>1.2735849056603774</v>
      </c>
      <c r="K792" s="73">
        <f t="shared" si="121"/>
        <v>5.0943396226415096</v>
      </c>
      <c r="L792" s="54">
        <f>+J792*E792</f>
        <v>5.0943396226415096</v>
      </c>
      <c r="M792" s="245" t="s">
        <v>30</v>
      </c>
    </row>
    <row r="793" spans="1:13">
      <c r="A793" s="94" t="s">
        <v>576</v>
      </c>
      <c r="B793" s="95" t="s">
        <v>577</v>
      </c>
      <c r="C793" s="26" t="s">
        <v>578</v>
      </c>
      <c r="D793" s="104" t="s">
        <v>326</v>
      </c>
      <c r="E793" s="226">
        <v>4</v>
      </c>
      <c r="F793" s="223">
        <v>5000</v>
      </c>
      <c r="G793" s="2">
        <f t="shared" si="119"/>
        <v>20000</v>
      </c>
      <c r="H793" s="238">
        <f t="shared" si="118"/>
        <v>750</v>
      </c>
      <c r="I793" s="51">
        <f t="shared" si="117"/>
        <v>1000</v>
      </c>
      <c r="J793" s="52">
        <f t="shared" si="120"/>
        <v>1.2735849056603774</v>
      </c>
      <c r="K793" s="53">
        <f t="shared" si="121"/>
        <v>5.0943396226415096</v>
      </c>
      <c r="L793" s="52">
        <f>J793*E793</f>
        <v>5.0943396226415096</v>
      </c>
      <c r="M793" s="245" t="s">
        <v>93</v>
      </c>
    </row>
    <row r="794" spans="1:13">
      <c r="A794" s="94" t="s">
        <v>576</v>
      </c>
      <c r="B794" s="95" t="s">
        <v>577</v>
      </c>
      <c r="C794" s="26" t="s">
        <v>578</v>
      </c>
      <c r="D794" s="26" t="s">
        <v>326</v>
      </c>
      <c r="E794" s="226">
        <v>4</v>
      </c>
      <c r="F794" s="223">
        <v>5000</v>
      </c>
      <c r="G794" s="2">
        <f t="shared" si="119"/>
        <v>20000</v>
      </c>
      <c r="H794" s="238">
        <f t="shared" si="118"/>
        <v>750</v>
      </c>
      <c r="I794" s="51">
        <f>+F794*0.15</f>
        <v>750</v>
      </c>
      <c r="J794" s="52">
        <f t="shared" si="120"/>
        <v>1.2264150943396226</v>
      </c>
      <c r="K794" s="52">
        <f t="shared" si="121"/>
        <v>4.9056603773584904</v>
      </c>
      <c r="L794" s="219"/>
      <c r="M794" s="245" t="s">
        <v>87</v>
      </c>
    </row>
    <row r="795" spans="1:13">
      <c r="A795" s="94" t="s">
        <v>576</v>
      </c>
      <c r="B795" s="95" t="s">
        <v>577</v>
      </c>
      <c r="C795" s="26" t="s">
        <v>578</v>
      </c>
      <c r="D795" s="26" t="s">
        <v>326</v>
      </c>
      <c r="E795" s="226">
        <v>4</v>
      </c>
      <c r="F795" s="223">
        <v>5000</v>
      </c>
      <c r="G795" s="2">
        <f t="shared" si="119"/>
        <v>20000</v>
      </c>
      <c r="H795" s="238">
        <f t="shared" si="118"/>
        <v>750</v>
      </c>
      <c r="I795" s="51">
        <f>+F795*0.2</f>
        <v>1000</v>
      </c>
      <c r="J795" s="128">
        <f t="shared" si="120"/>
        <v>1.2735849056603774</v>
      </c>
      <c r="K795" s="53">
        <f t="shared" si="121"/>
        <v>5.0943396226415096</v>
      </c>
      <c r="L795" s="52">
        <f>E795*J795</f>
        <v>5.0943396226415096</v>
      </c>
      <c r="M795" s="245" t="s">
        <v>15</v>
      </c>
    </row>
    <row r="796" spans="1:13">
      <c r="A796" s="218" t="s">
        <v>576</v>
      </c>
      <c r="B796" s="95" t="s">
        <v>577</v>
      </c>
      <c r="C796" s="26" t="s">
        <v>578</v>
      </c>
      <c r="D796" s="25" t="s">
        <v>326</v>
      </c>
      <c r="E796" s="49">
        <v>4</v>
      </c>
      <c r="F796" s="48">
        <v>5000</v>
      </c>
      <c r="G796" s="9">
        <f t="shared" si="119"/>
        <v>20000</v>
      </c>
      <c r="H796" s="51">
        <f t="shared" si="118"/>
        <v>750</v>
      </c>
      <c r="I796" s="51">
        <f>+F796*0.15</f>
        <v>750</v>
      </c>
      <c r="J796" s="128">
        <f t="shared" si="120"/>
        <v>1.2264150943396226</v>
      </c>
      <c r="K796" s="53">
        <f t="shared" si="121"/>
        <v>4.9056603773584904</v>
      </c>
      <c r="L796" s="52">
        <f>J796*E796</f>
        <v>4.9056603773584904</v>
      </c>
      <c r="M796" s="245" t="s">
        <v>17</v>
      </c>
    </row>
    <row r="797" spans="1:13">
      <c r="A797" s="218" t="s">
        <v>576</v>
      </c>
      <c r="B797" s="95" t="s">
        <v>577</v>
      </c>
      <c r="C797" s="26" t="s">
        <v>578</v>
      </c>
      <c r="D797" s="25" t="s">
        <v>326</v>
      </c>
      <c r="E797" s="49">
        <v>8</v>
      </c>
      <c r="F797" s="48">
        <v>8000</v>
      </c>
      <c r="G797" s="9">
        <f t="shared" si="119"/>
        <v>64000</v>
      </c>
      <c r="H797" s="51">
        <f t="shared" si="118"/>
        <v>1200</v>
      </c>
      <c r="I797" s="51">
        <f>+F797*0.2</f>
        <v>1600</v>
      </c>
      <c r="J797" s="128">
        <f t="shared" si="120"/>
        <v>2.0377358490566038</v>
      </c>
      <c r="K797" s="53">
        <f t="shared" si="121"/>
        <v>16.30188679245283</v>
      </c>
      <c r="L797" s="52">
        <f>J797*E797</f>
        <v>16.30188679245283</v>
      </c>
      <c r="M797" s="245" t="s">
        <v>17</v>
      </c>
    </row>
    <row r="798" spans="1:13">
      <c r="A798" s="218" t="s">
        <v>539</v>
      </c>
      <c r="B798" s="95" t="s">
        <v>579</v>
      </c>
      <c r="C798" s="26" t="s">
        <v>580</v>
      </c>
      <c r="D798" s="25" t="s">
        <v>326</v>
      </c>
      <c r="E798" s="49">
        <v>1</v>
      </c>
      <c r="F798" s="48">
        <v>12000</v>
      </c>
      <c r="G798" s="9">
        <f t="shared" si="119"/>
        <v>12000</v>
      </c>
      <c r="H798" s="69">
        <f t="shared" si="118"/>
        <v>1800</v>
      </c>
      <c r="I798" s="69">
        <f>+F798*0.2</f>
        <v>2400</v>
      </c>
      <c r="J798" s="54">
        <f t="shared" si="120"/>
        <v>3.0566037735849059</v>
      </c>
      <c r="K798" s="73">
        <f t="shared" si="121"/>
        <v>3.0566037735849059</v>
      </c>
      <c r="L798" s="54">
        <f>+J798*E798</f>
        <v>3.0566037735849059</v>
      </c>
      <c r="M798" s="245" t="s">
        <v>30</v>
      </c>
    </row>
    <row r="799" spans="1:13">
      <c r="A799" s="218" t="s">
        <v>539</v>
      </c>
      <c r="B799" s="95" t="s">
        <v>579</v>
      </c>
      <c r="C799" s="26" t="s">
        <v>580</v>
      </c>
      <c r="D799" s="25" t="s">
        <v>326</v>
      </c>
      <c r="E799" s="49">
        <v>1</v>
      </c>
      <c r="F799" s="48">
        <v>12000</v>
      </c>
      <c r="G799" s="9">
        <f t="shared" si="119"/>
        <v>12000</v>
      </c>
      <c r="H799" s="51">
        <f t="shared" si="118"/>
        <v>1800</v>
      </c>
      <c r="I799" s="51">
        <f>+F799*0.15</f>
        <v>1800</v>
      </c>
      <c r="J799" s="128">
        <f t="shared" si="120"/>
        <v>2.9433962264150941</v>
      </c>
      <c r="K799" s="53">
        <f t="shared" si="121"/>
        <v>2.9433962264150941</v>
      </c>
      <c r="L799" s="52">
        <f>J799*E799</f>
        <v>2.9433962264150941</v>
      </c>
      <c r="M799" s="245" t="s">
        <v>17</v>
      </c>
    </row>
    <row r="800" spans="1:13">
      <c r="A800" s="280" t="s">
        <v>581</v>
      </c>
      <c r="B800" s="95" t="s">
        <v>579</v>
      </c>
      <c r="C800" s="207" t="s">
        <v>582</v>
      </c>
      <c r="D800" s="207" t="s">
        <v>326</v>
      </c>
      <c r="E800" s="227">
        <v>4</v>
      </c>
      <c r="F800" s="236">
        <v>12000</v>
      </c>
      <c r="G800" s="236">
        <f t="shared" si="119"/>
        <v>48000</v>
      </c>
      <c r="H800" s="239">
        <f t="shared" si="118"/>
        <v>1800</v>
      </c>
      <c r="I800" s="206">
        <f>+F800*0.2</f>
        <v>2400</v>
      </c>
      <c r="J800" s="84">
        <f t="shared" si="120"/>
        <v>3.0566037735849059</v>
      </c>
      <c r="K800" s="241">
        <f t="shared" si="121"/>
        <v>12.226415094339623</v>
      </c>
      <c r="L800" s="219"/>
      <c r="M800" s="245" t="s">
        <v>20</v>
      </c>
    </row>
    <row r="801" spans="1:13">
      <c r="A801" s="281" t="s">
        <v>581</v>
      </c>
      <c r="B801" s="95" t="s">
        <v>579</v>
      </c>
      <c r="C801" s="26" t="s">
        <v>582</v>
      </c>
      <c r="D801" s="26" t="s">
        <v>326</v>
      </c>
      <c r="E801" s="226">
        <v>4</v>
      </c>
      <c r="F801" s="223">
        <v>12000</v>
      </c>
      <c r="G801" s="2">
        <f t="shared" si="119"/>
        <v>48000</v>
      </c>
      <c r="H801" s="51">
        <f t="shared" si="118"/>
        <v>1800</v>
      </c>
      <c r="I801" s="51">
        <f>+F801*0.2</f>
        <v>2400</v>
      </c>
      <c r="J801" s="52">
        <f t="shared" si="120"/>
        <v>3.0566037735849059</v>
      </c>
      <c r="K801" s="52">
        <f t="shared" si="121"/>
        <v>12.226415094339623</v>
      </c>
      <c r="L801" s="219"/>
      <c r="M801" s="245" t="s">
        <v>89</v>
      </c>
    </row>
    <row r="802" spans="1:13">
      <c r="A802" s="280" t="s">
        <v>581</v>
      </c>
      <c r="B802" s="95" t="s">
        <v>579</v>
      </c>
      <c r="C802" s="26" t="s">
        <v>582</v>
      </c>
      <c r="D802" s="26" t="s">
        <v>326</v>
      </c>
      <c r="E802" s="226">
        <v>4</v>
      </c>
      <c r="F802" s="223">
        <v>12000</v>
      </c>
      <c r="G802" s="2">
        <f t="shared" si="119"/>
        <v>48000</v>
      </c>
      <c r="H802" s="238">
        <f t="shared" si="118"/>
        <v>1800</v>
      </c>
      <c r="I802" s="51">
        <f>+F802*0.15</f>
        <v>1800</v>
      </c>
      <c r="J802" s="240">
        <f t="shared" si="120"/>
        <v>2.9433962264150941</v>
      </c>
      <c r="K802" s="51">
        <f t="shared" si="121"/>
        <v>11.773584905660377</v>
      </c>
      <c r="L802" s="240">
        <f>+E802*J802</f>
        <v>11.773584905660377</v>
      </c>
      <c r="M802" s="245" t="s">
        <v>117</v>
      </c>
    </row>
    <row r="803" spans="1:13">
      <c r="A803" s="281" t="s">
        <v>581</v>
      </c>
      <c r="B803" s="95" t="s">
        <v>579</v>
      </c>
      <c r="C803" s="26" t="s">
        <v>582</v>
      </c>
      <c r="D803" s="26" t="s">
        <v>326</v>
      </c>
      <c r="E803" s="223">
        <v>4</v>
      </c>
      <c r="F803" s="223">
        <v>12000</v>
      </c>
      <c r="G803" s="2">
        <f t="shared" si="119"/>
        <v>48000</v>
      </c>
      <c r="H803" s="238">
        <f t="shared" si="118"/>
        <v>1800</v>
      </c>
      <c r="I803" s="51">
        <f t="shared" ref="I803:I816" si="122">+F803*0.2</f>
        <v>2400</v>
      </c>
      <c r="J803" s="52">
        <f t="shared" si="120"/>
        <v>3.0566037735849059</v>
      </c>
      <c r="K803" s="53">
        <f t="shared" si="121"/>
        <v>12.226415094339623</v>
      </c>
      <c r="L803" s="52">
        <f>J803*E803</f>
        <v>12.226415094339623</v>
      </c>
      <c r="M803" s="245" t="s">
        <v>118</v>
      </c>
    </row>
    <row r="804" spans="1:13">
      <c r="A804" s="280" t="s">
        <v>581</v>
      </c>
      <c r="B804" s="95" t="s">
        <v>579</v>
      </c>
      <c r="C804" s="26" t="s">
        <v>582</v>
      </c>
      <c r="D804" s="26" t="s">
        <v>326</v>
      </c>
      <c r="E804" s="226">
        <v>4</v>
      </c>
      <c r="F804" s="235">
        <v>12000</v>
      </c>
      <c r="G804" s="2">
        <f t="shared" si="119"/>
        <v>48000</v>
      </c>
      <c r="H804" s="51">
        <f t="shared" si="118"/>
        <v>1800</v>
      </c>
      <c r="I804" s="51">
        <f t="shared" si="122"/>
        <v>2400</v>
      </c>
      <c r="J804" s="84">
        <f t="shared" si="120"/>
        <v>3.0566037735849059</v>
      </c>
      <c r="K804" s="52">
        <f>J804*E804</f>
        <v>12.226415094339623</v>
      </c>
      <c r="L804" s="219"/>
      <c r="M804" s="245" t="s">
        <v>23</v>
      </c>
    </row>
    <row r="805" spans="1:13">
      <c r="A805" s="151" t="s">
        <v>581</v>
      </c>
      <c r="B805" s="95" t="s">
        <v>579</v>
      </c>
      <c r="C805" s="26" t="s">
        <v>582</v>
      </c>
      <c r="D805" s="25" t="s">
        <v>326</v>
      </c>
      <c r="E805" s="49">
        <v>4</v>
      </c>
      <c r="F805" s="48">
        <v>12000</v>
      </c>
      <c r="G805" s="9">
        <f t="shared" si="119"/>
        <v>48000</v>
      </c>
      <c r="H805" s="51">
        <f t="shared" si="118"/>
        <v>1800</v>
      </c>
      <c r="I805" s="51">
        <f t="shared" si="122"/>
        <v>2400</v>
      </c>
      <c r="J805" s="52">
        <f t="shared" si="120"/>
        <v>3.0566037735849059</v>
      </c>
      <c r="K805" s="53">
        <f>+J805*E805</f>
        <v>12.226415094339623</v>
      </c>
      <c r="L805" s="54">
        <f>+J805*E805</f>
        <v>12.226415094339623</v>
      </c>
      <c r="M805" s="245" t="s">
        <v>30</v>
      </c>
    </row>
    <row r="806" spans="1:13">
      <c r="A806" s="280" t="s">
        <v>581</v>
      </c>
      <c r="B806" s="95" t="s">
        <v>579</v>
      </c>
      <c r="C806" s="26" t="s">
        <v>582</v>
      </c>
      <c r="D806" s="104" t="s">
        <v>326</v>
      </c>
      <c r="E806" s="226">
        <v>4</v>
      </c>
      <c r="F806" s="223">
        <v>12000</v>
      </c>
      <c r="G806" s="2">
        <f t="shared" si="119"/>
        <v>48000</v>
      </c>
      <c r="H806" s="238">
        <f t="shared" si="118"/>
        <v>1800</v>
      </c>
      <c r="I806" s="51">
        <f t="shared" si="122"/>
        <v>2400</v>
      </c>
      <c r="J806" s="52">
        <f>+(H806+I806+F806)/5300</f>
        <v>3.0566037735849059</v>
      </c>
      <c r="K806" s="53">
        <f>+J806*E806</f>
        <v>12.226415094339623</v>
      </c>
      <c r="L806" s="52">
        <f>E806*J806</f>
        <v>12.226415094339623</v>
      </c>
      <c r="M806" s="245" t="s">
        <v>93</v>
      </c>
    </row>
    <row r="807" spans="1:13">
      <c r="A807" s="280" t="s">
        <v>581</v>
      </c>
      <c r="B807" s="95" t="s">
        <v>579</v>
      </c>
      <c r="C807" s="26" t="s">
        <v>582</v>
      </c>
      <c r="D807" s="26" t="s">
        <v>326</v>
      </c>
      <c r="E807" s="226">
        <v>4</v>
      </c>
      <c r="F807" s="223">
        <v>12000</v>
      </c>
      <c r="G807" s="2">
        <f t="shared" si="119"/>
        <v>48000</v>
      </c>
      <c r="H807" s="238">
        <f t="shared" si="118"/>
        <v>1800</v>
      </c>
      <c r="I807" s="51">
        <f t="shared" si="122"/>
        <v>2400</v>
      </c>
      <c r="J807" s="52">
        <f t="shared" ref="J807:J820" si="123">+(F807+H807+I807)/5300</f>
        <v>3.0566037735849059</v>
      </c>
      <c r="K807" s="52">
        <f>+J807*E807</f>
        <v>12.226415094339623</v>
      </c>
      <c r="L807" s="219"/>
      <c r="M807" s="245" t="s">
        <v>87</v>
      </c>
    </row>
    <row r="808" spans="1:13">
      <c r="A808" s="280" t="s">
        <v>581</v>
      </c>
      <c r="B808" s="95" t="s">
        <v>579</v>
      </c>
      <c r="C808" s="26" t="s">
        <v>582</v>
      </c>
      <c r="D808" s="26" t="s">
        <v>326</v>
      </c>
      <c r="E808" s="226">
        <v>4</v>
      </c>
      <c r="F808" s="223">
        <v>12000</v>
      </c>
      <c r="G808" s="2">
        <f t="shared" si="119"/>
        <v>48000</v>
      </c>
      <c r="H808" s="238">
        <f t="shared" si="118"/>
        <v>1800</v>
      </c>
      <c r="I808" s="51">
        <f t="shared" si="122"/>
        <v>2400</v>
      </c>
      <c r="J808" s="128">
        <f t="shared" si="123"/>
        <v>3.0566037735849059</v>
      </c>
      <c r="K808" s="53">
        <f>+J808*E808</f>
        <v>12.226415094339623</v>
      </c>
      <c r="L808" s="52">
        <f>E808*J808</f>
        <v>12.226415094339623</v>
      </c>
      <c r="M808" s="245" t="s">
        <v>15</v>
      </c>
    </row>
    <row r="809" spans="1:13">
      <c r="A809" s="94" t="s">
        <v>539</v>
      </c>
      <c r="B809" s="95" t="s">
        <v>583</v>
      </c>
      <c r="C809" s="207" t="s">
        <v>584</v>
      </c>
      <c r="D809" s="207" t="s">
        <v>326</v>
      </c>
      <c r="E809" s="227">
        <v>1</v>
      </c>
      <c r="F809" s="236">
        <v>160000</v>
      </c>
      <c r="G809" s="236">
        <f t="shared" si="119"/>
        <v>160000</v>
      </c>
      <c r="H809" s="239">
        <f t="shared" si="118"/>
        <v>24000</v>
      </c>
      <c r="I809" s="206">
        <f t="shared" si="122"/>
        <v>32000</v>
      </c>
      <c r="J809" s="84">
        <f t="shared" si="123"/>
        <v>40.754716981132077</v>
      </c>
      <c r="K809" s="241">
        <f>J809*E809</f>
        <v>40.754716981132077</v>
      </c>
      <c r="L809" s="219"/>
      <c r="M809" s="245" t="s">
        <v>20</v>
      </c>
    </row>
    <row r="810" spans="1:13">
      <c r="A810" s="1" t="s">
        <v>539</v>
      </c>
      <c r="B810" s="95" t="s">
        <v>583</v>
      </c>
      <c r="C810" s="26" t="s">
        <v>584</v>
      </c>
      <c r="D810" s="26" t="s">
        <v>326</v>
      </c>
      <c r="E810" s="226">
        <v>1</v>
      </c>
      <c r="F810" s="223">
        <v>160000</v>
      </c>
      <c r="G810" s="2">
        <f t="shared" si="119"/>
        <v>160000</v>
      </c>
      <c r="H810" s="51">
        <f t="shared" si="118"/>
        <v>24000</v>
      </c>
      <c r="I810" s="51">
        <f t="shared" si="122"/>
        <v>32000</v>
      </c>
      <c r="J810" s="52">
        <f t="shared" si="123"/>
        <v>40.754716981132077</v>
      </c>
      <c r="K810" s="52">
        <f t="shared" ref="K810:K818" si="124">+J810*E810</f>
        <v>40.754716981132077</v>
      </c>
      <c r="L810" s="219"/>
      <c r="M810" s="245" t="s">
        <v>89</v>
      </c>
    </row>
    <row r="811" spans="1:13">
      <c r="A811" s="94" t="s">
        <v>539</v>
      </c>
      <c r="B811" s="95" t="s">
        <v>583</v>
      </c>
      <c r="C811" s="26" t="s">
        <v>584</v>
      </c>
      <c r="D811" s="26" t="s">
        <v>326</v>
      </c>
      <c r="E811" s="226">
        <v>1</v>
      </c>
      <c r="F811" s="235">
        <v>160000</v>
      </c>
      <c r="G811" s="2">
        <f t="shared" si="119"/>
        <v>160000</v>
      </c>
      <c r="H811" s="51">
        <f t="shared" si="118"/>
        <v>24000</v>
      </c>
      <c r="I811" s="51">
        <f t="shared" si="122"/>
        <v>32000</v>
      </c>
      <c r="J811" s="241">
        <f t="shared" si="123"/>
        <v>40.754716981132077</v>
      </c>
      <c r="K811" s="52">
        <f t="shared" si="124"/>
        <v>40.754716981132077</v>
      </c>
      <c r="L811" s="219"/>
      <c r="M811" s="245" t="s">
        <v>23</v>
      </c>
    </row>
    <row r="812" spans="1:13">
      <c r="A812" s="94" t="s">
        <v>539</v>
      </c>
      <c r="B812" s="95" t="s">
        <v>583</v>
      </c>
      <c r="C812" s="26" t="s">
        <v>584</v>
      </c>
      <c r="D812" s="26" t="s">
        <v>326</v>
      </c>
      <c r="E812" s="226">
        <v>1</v>
      </c>
      <c r="F812" s="223">
        <v>170000</v>
      </c>
      <c r="G812" s="2">
        <f t="shared" si="119"/>
        <v>170000</v>
      </c>
      <c r="H812" s="238">
        <f t="shared" si="118"/>
        <v>25500</v>
      </c>
      <c r="I812" s="51">
        <f t="shared" si="122"/>
        <v>34000</v>
      </c>
      <c r="J812" s="52">
        <f t="shared" si="123"/>
        <v>43.301886792452834</v>
      </c>
      <c r="K812" s="52">
        <f t="shared" si="124"/>
        <v>43.301886792452834</v>
      </c>
      <c r="L812" s="219"/>
      <c r="M812" s="245" t="s">
        <v>87</v>
      </c>
    </row>
    <row r="813" spans="1:13">
      <c r="A813" s="94" t="s">
        <v>539</v>
      </c>
      <c r="B813" s="95" t="s">
        <v>583</v>
      </c>
      <c r="C813" s="26" t="s">
        <v>584</v>
      </c>
      <c r="D813" s="26" t="s">
        <v>326</v>
      </c>
      <c r="E813" s="226">
        <v>1</v>
      </c>
      <c r="F813" s="223">
        <v>160000</v>
      </c>
      <c r="G813" s="2">
        <f t="shared" si="119"/>
        <v>160000</v>
      </c>
      <c r="H813" s="238">
        <f t="shared" si="118"/>
        <v>24000</v>
      </c>
      <c r="I813" s="51">
        <f t="shared" si="122"/>
        <v>32000</v>
      </c>
      <c r="J813" s="128">
        <f t="shared" si="123"/>
        <v>40.754716981132077</v>
      </c>
      <c r="K813" s="53">
        <f t="shared" si="124"/>
        <v>40.754716981132077</v>
      </c>
      <c r="L813" s="52">
        <f>E813*J813</f>
        <v>40.754716981132077</v>
      </c>
      <c r="M813" s="245" t="s">
        <v>15</v>
      </c>
    </row>
    <row r="814" spans="1:13">
      <c r="A814" s="218" t="s">
        <v>539</v>
      </c>
      <c r="B814" s="95" t="s">
        <v>583</v>
      </c>
      <c r="C814" s="26" t="s">
        <v>584</v>
      </c>
      <c r="D814" s="25" t="s">
        <v>326</v>
      </c>
      <c r="E814" s="49">
        <v>2</v>
      </c>
      <c r="F814" s="48">
        <v>160000</v>
      </c>
      <c r="G814" s="9">
        <f t="shared" si="119"/>
        <v>320000</v>
      </c>
      <c r="H814" s="51">
        <f t="shared" si="118"/>
        <v>24000</v>
      </c>
      <c r="I814" s="51">
        <f t="shared" si="122"/>
        <v>32000</v>
      </c>
      <c r="J814" s="128">
        <f t="shared" si="123"/>
        <v>40.754716981132077</v>
      </c>
      <c r="K814" s="53">
        <f t="shared" si="124"/>
        <v>81.509433962264154</v>
      </c>
      <c r="L814" s="52">
        <f>J814*E814</f>
        <v>81.509433962264154</v>
      </c>
      <c r="M814" s="245" t="s">
        <v>17</v>
      </c>
    </row>
    <row r="815" spans="1:13">
      <c r="A815" s="94" t="s">
        <v>585</v>
      </c>
      <c r="B815" s="95" t="s">
        <v>586</v>
      </c>
      <c r="C815" s="207" t="s">
        <v>587</v>
      </c>
      <c r="D815" s="207" t="s">
        <v>326</v>
      </c>
      <c r="E815" s="211">
        <v>2</v>
      </c>
      <c r="F815" s="146">
        <v>25000</v>
      </c>
      <c r="G815" s="236">
        <f t="shared" ref="G815:G824" si="125">+F815*E815</f>
        <v>50000</v>
      </c>
      <c r="H815" s="239">
        <f t="shared" si="118"/>
        <v>3750</v>
      </c>
      <c r="I815" s="206">
        <f t="shared" si="122"/>
        <v>5000</v>
      </c>
      <c r="J815" s="84">
        <f t="shared" si="123"/>
        <v>6.367924528301887</v>
      </c>
      <c r="K815" s="241">
        <f t="shared" si="124"/>
        <v>12.735849056603774</v>
      </c>
      <c r="L815" s="219"/>
      <c r="M815" s="245" t="s">
        <v>20</v>
      </c>
    </row>
    <row r="816" spans="1:13">
      <c r="A816" s="1" t="s">
        <v>585</v>
      </c>
      <c r="B816" s="95" t="s">
        <v>586</v>
      </c>
      <c r="C816" s="26" t="s">
        <v>587</v>
      </c>
      <c r="D816" s="26" t="s">
        <v>326</v>
      </c>
      <c r="E816" s="209">
        <v>2</v>
      </c>
      <c r="F816" s="6">
        <v>25000</v>
      </c>
      <c r="G816" s="2">
        <f t="shared" si="125"/>
        <v>50000</v>
      </c>
      <c r="H816" s="51">
        <f t="shared" si="118"/>
        <v>3750</v>
      </c>
      <c r="I816" s="51">
        <f t="shared" si="122"/>
        <v>5000</v>
      </c>
      <c r="J816" s="52">
        <f t="shared" si="123"/>
        <v>6.367924528301887</v>
      </c>
      <c r="K816" s="52">
        <f t="shared" si="124"/>
        <v>12.735849056603774</v>
      </c>
      <c r="L816" s="219"/>
      <c r="M816" s="245" t="s">
        <v>89</v>
      </c>
    </row>
    <row r="817" spans="1:13">
      <c r="A817" s="94" t="s">
        <v>585</v>
      </c>
      <c r="B817" s="95" t="s">
        <v>586</v>
      </c>
      <c r="C817" s="26" t="s">
        <v>587</v>
      </c>
      <c r="D817" s="26" t="s">
        <v>326</v>
      </c>
      <c r="E817" s="226">
        <v>2</v>
      </c>
      <c r="F817" s="6">
        <v>25000</v>
      </c>
      <c r="G817" s="2">
        <f t="shared" si="125"/>
        <v>50000</v>
      </c>
      <c r="H817" s="238">
        <f t="shared" si="118"/>
        <v>3750</v>
      </c>
      <c r="I817" s="51">
        <f>+F817*0.15</f>
        <v>3750</v>
      </c>
      <c r="J817" s="240">
        <f t="shared" si="123"/>
        <v>6.132075471698113</v>
      </c>
      <c r="K817" s="51">
        <f t="shared" si="124"/>
        <v>12.264150943396226</v>
      </c>
      <c r="L817" s="240">
        <f>+E817*J817</f>
        <v>12.264150943396226</v>
      </c>
      <c r="M817" s="245" t="s">
        <v>117</v>
      </c>
    </row>
    <row r="818" spans="1:13">
      <c r="A818" s="1" t="s">
        <v>585</v>
      </c>
      <c r="B818" s="95" t="s">
        <v>586</v>
      </c>
      <c r="C818" s="26" t="s">
        <v>587</v>
      </c>
      <c r="D818" s="26" t="s">
        <v>326</v>
      </c>
      <c r="E818" s="26">
        <v>2</v>
      </c>
      <c r="F818" s="6">
        <v>25000</v>
      </c>
      <c r="G818" s="2">
        <f t="shared" si="125"/>
        <v>50000</v>
      </c>
      <c r="H818" s="238">
        <f t="shared" si="118"/>
        <v>3750</v>
      </c>
      <c r="I818" s="51">
        <f t="shared" ref="I818:I826" si="126">+F818*0.2</f>
        <v>5000</v>
      </c>
      <c r="J818" s="52">
        <f t="shared" si="123"/>
        <v>6.367924528301887</v>
      </c>
      <c r="K818" s="53">
        <f t="shared" si="124"/>
        <v>12.735849056603774</v>
      </c>
      <c r="L818" s="52">
        <f>J818*E818</f>
        <v>12.735849056603774</v>
      </c>
      <c r="M818" s="245" t="s">
        <v>118</v>
      </c>
    </row>
    <row r="819" spans="1:13">
      <c r="A819" s="94" t="s">
        <v>585</v>
      </c>
      <c r="B819" s="95" t="s">
        <v>586</v>
      </c>
      <c r="C819" s="26" t="s">
        <v>587</v>
      </c>
      <c r="D819" s="26" t="s">
        <v>326</v>
      </c>
      <c r="E819" s="209">
        <v>2</v>
      </c>
      <c r="F819" s="234">
        <v>25000</v>
      </c>
      <c r="G819" s="2">
        <f t="shared" si="125"/>
        <v>50000</v>
      </c>
      <c r="H819" s="51">
        <f t="shared" si="118"/>
        <v>3750</v>
      </c>
      <c r="I819" s="51">
        <f t="shared" si="126"/>
        <v>5000</v>
      </c>
      <c r="J819" s="84">
        <f t="shared" si="123"/>
        <v>6.367924528301887</v>
      </c>
      <c r="K819" s="52">
        <f>J819*E819</f>
        <v>12.735849056603774</v>
      </c>
      <c r="L819" s="219"/>
      <c r="M819" s="245" t="s">
        <v>23</v>
      </c>
    </row>
    <row r="820" spans="1:13">
      <c r="A820" s="218" t="s">
        <v>585</v>
      </c>
      <c r="B820" s="95" t="s">
        <v>586</v>
      </c>
      <c r="C820" s="26" t="s">
        <v>587</v>
      </c>
      <c r="D820" s="25" t="s">
        <v>326</v>
      </c>
      <c r="E820" s="66">
        <v>2</v>
      </c>
      <c r="F820" s="23">
        <v>25000</v>
      </c>
      <c r="G820" s="9">
        <f t="shared" si="125"/>
        <v>50000</v>
      </c>
      <c r="H820" s="51">
        <f t="shared" si="118"/>
        <v>3750</v>
      </c>
      <c r="I820" s="51">
        <f t="shared" si="126"/>
        <v>5000</v>
      </c>
      <c r="J820" s="52">
        <f t="shared" si="123"/>
        <v>6.367924528301887</v>
      </c>
      <c r="K820" s="53">
        <f t="shared" ref="K820:K828" si="127">+J820*E820</f>
        <v>12.735849056603774</v>
      </c>
      <c r="L820" s="54">
        <f>+J820*E820</f>
        <v>12.735849056603774</v>
      </c>
      <c r="M820" s="245" t="s">
        <v>30</v>
      </c>
    </row>
    <row r="821" spans="1:13">
      <c r="A821" s="94" t="s">
        <v>585</v>
      </c>
      <c r="B821" s="95" t="s">
        <v>586</v>
      </c>
      <c r="C821" s="26" t="s">
        <v>587</v>
      </c>
      <c r="D821" s="104" t="s">
        <v>326</v>
      </c>
      <c r="E821" s="209">
        <v>2</v>
      </c>
      <c r="F821" s="6">
        <v>25000</v>
      </c>
      <c r="G821" s="2">
        <f t="shared" si="125"/>
        <v>50000</v>
      </c>
      <c r="H821" s="238">
        <f t="shared" si="118"/>
        <v>3750</v>
      </c>
      <c r="I821" s="51">
        <f t="shared" si="126"/>
        <v>5000</v>
      </c>
      <c r="J821" s="52">
        <f>+(H821+I821+F821)/5300</f>
        <v>6.367924528301887</v>
      </c>
      <c r="K821" s="53">
        <f t="shared" si="127"/>
        <v>12.735849056603774</v>
      </c>
      <c r="L821" s="52">
        <f>E821*J821</f>
        <v>12.735849056603774</v>
      </c>
      <c r="M821" s="245" t="s">
        <v>93</v>
      </c>
    </row>
    <row r="822" spans="1:13">
      <c r="A822" s="94" t="s">
        <v>585</v>
      </c>
      <c r="B822" s="95" t="s">
        <v>586</v>
      </c>
      <c r="C822" s="26" t="s">
        <v>587</v>
      </c>
      <c r="D822" s="26" t="s">
        <v>326</v>
      </c>
      <c r="E822" s="209">
        <v>2</v>
      </c>
      <c r="F822" s="6">
        <v>25000</v>
      </c>
      <c r="G822" s="2">
        <f t="shared" si="125"/>
        <v>50000</v>
      </c>
      <c r="H822" s="238">
        <f t="shared" si="118"/>
        <v>3750</v>
      </c>
      <c r="I822" s="51">
        <f t="shared" si="126"/>
        <v>5000</v>
      </c>
      <c r="J822" s="52">
        <f>+(F822+H822+I822)/5300</f>
        <v>6.367924528301887</v>
      </c>
      <c r="K822" s="52">
        <f t="shared" si="127"/>
        <v>12.735849056603774</v>
      </c>
      <c r="L822" s="219"/>
      <c r="M822" s="245" t="s">
        <v>87</v>
      </c>
    </row>
    <row r="823" spans="1:13">
      <c r="A823" s="94" t="s">
        <v>585</v>
      </c>
      <c r="B823" s="95" t="s">
        <v>586</v>
      </c>
      <c r="C823" s="26" t="s">
        <v>587</v>
      </c>
      <c r="D823" s="26" t="s">
        <v>326</v>
      </c>
      <c r="E823" s="209">
        <v>2</v>
      </c>
      <c r="F823" s="6">
        <v>25000</v>
      </c>
      <c r="G823" s="2">
        <f t="shared" si="125"/>
        <v>50000</v>
      </c>
      <c r="H823" s="238">
        <f t="shared" si="118"/>
        <v>3750</v>
      </c>
      <c r="I823" s="51">
        <f t="shared" si="126"/>
        <v>5000</v>
      </c>
      <c r="J823" s="128">
        <f>+(F823+H823+I823)/5300</f>
        <v>6.367924528301887</v>
      </c>
      <c r="K823" s="53">
        <f t="shared" si="127"/>
        <v>12.735849056603774</v>
      </c>
      <c r="L823" s="52">
        <f>E823*J823</f>
        <v>12.735849056603774</v>
      </c>
      <c r="M823" s="245" t="s">
        <v>15</v>
      </c>
    </row>
    <row r="824" spans="1:13">
      <c r="A824" s="218" t="s">
        <v>585</v>
      </c>
      <c r="B824" s="95" t="s">
        <v>586</v>
      </c>
      <c r="C824" s="26" t="s">
        <v>587</v>
      </c>
      <c r="D824" s="25" t="s">
        <v>326</v>
      </c>
      <c r="E824" s="66">
        <v>4</v>
      </c>
      <c r="F824" s="23">
        <v>25000</v>
      </c>
      <c r="G824" s="9">
        <f t="shared" si="125"/>
        <v>100000</v>
      </c>
      <c r="H824" s="51">
        <f t="shared" si="118"/>
        <v>3750</v>
      </c>
      <c r="I824" s="51">
        <f t="shared" si="126"/>
        <v>5000</v>
      </c>
      <c r="J824" s="128">
        <f>+(I824+H824+F824)/5300</f>
        <v>6.367924528301887</v>
      </c>
      <c r="K824" s="53">
        <f t="shared" si="127"/>
        <v>25.471698113207548</v>
      </c>
      <c r="L824" s="52">
        <f>J824*E824</f>
        <v>25.471698113207548</v>
      </c>
      <c r="M824" s="245" t="s">
        <v>17</v>
      </c>
    </row>
    <row r="825" spans="1:13">
      <c r="A825" s="94" t="s">
        <v>588</v>
      </c>
      <c r="B825" s="95" t="s">
        <v>589</v>
      </c>
      <c r="C825" s="207" t="s">
        <v>590</v>
      </c>
      <c r="D825" s="207" t="s">
        <v>326</v>
      </c>
      <c r="E825" s="227">
        <v>4</v>
      </c>
      <c r="F825" s="236">
        <v>15000</v>
      </c>
      <c r="G825" s="236">
        <f t="shared" ref="G825:G834" si="128">F825*E825</f>
        <v>60000</v>
      </c>
      <c r="H825" s="239">
        <f t="shared" si="118"/>
        <v>2250</v>
      </c>
      <c r="I825" s="206">
        <f t="shared" si="126"/>
        <v>3000</v>
      </c>
      <c r="J825" s="84">
        <f t="shared" ref="J825:J830" si="129">+(F825+H825+I825)/5300</f>
        <v>3.8207547169811322</v>
      </c>
      <c r="K825" s="241">
        <f t="shared" si="127"/>
        <v>15.283018867924529</v>
      </c>
      <c r="L825" s="219"/>
      <c r="M825" s="245" t="s">
        <v>20</v>
      </c>
    </row>
    <row r="826" spans="1:13">
      <c r="A826" s="1" t="s">
        <v>588</v>
      </c>
      <c r="B826" s="95" t="s">
        <v>589</v>
      </c>
      <c r="C826" s="26" t="s">
        <v>590</v>
      </c>
      <c r="D826" s="26" t="s">
        <v>326</v>
      </c>
      <c r="E826" s="226">
        <v>4</v>
      </c>
      <c r="F826" s="223">
        <v>15000</v>
      </c>
      <c r="G826" s="2">
        <f t="shared" si="128"/>
        <v>60000</v>
      </c>
      <c r="H826" s="51">
        <f t="shared" si="118"/>
        <v>2250</v>
      </c>
      <c r="I826" s="51">
        <f t="shared" si="126"/>
        <v>3000</v>
      </c>
      <c r="J826" s="52">
        <f t="shared" si="129"/>
        <v>3.8207547169811322</v>
      </c>
      <c r="K826" s="52">
        <f t="shared" si="127"/>
        <v>15.283018867924529</v>
      </c>
      <c r="L826" s="219"/>
      <c r="M826" s="245" t="s">
        <v>89</v>
      </c>
    </row>
    <row r="827" spans="1:13">
      <c r="A827" s="94" t="s">
        <v>588</v>
      </c>
      <c r="B827" s="95" t="s">
        <v>589</v>
      </c>
      <c r="C827" s="26" t="s">
        <v>590</v>
      </c>
      <c r="D827" s="26" t="s">
        <v>326</v>
      </c>
      <c r="E827" s="226">
        <v>4</v>
      </c>
      <c r="F827" s="223">
        <v>15000</v>
      </c>
      <c r="G827" s="2">
        <f t="shared" si="128"/>
        <v>60000</v>
      </c>
      <c r="H827" s="238">
        <f t="shared" si="118"/>
        <v>2250</v>
      </c>
      <c r="I827" s="51">
        <f>+F827*0.15</f>
        <v>2250</v>
      </c>
      <c r="J827" s="240">
        <f t="shared" si="129"/>
        <v>3.6792452830188678</v>
      </c>
      <c r="K827" s="51">
        <f t="shared" si="127"/>
        <v>14.716981132075471</v>
      </c>
      <c r="L827" s="240">
        <f>+E827*J827</f>
        <v>14.716981132075471</v>
      </c>
      <c r="M827" s="245" t="s">
        <v>117</v>
      </c>
    </row>
    <row r="828" spans="1:13">
      <c r="A828" s="1" t="s">
        <v>588</v>
      </c>
      <c r="B828" s="95" t="s">
        <v>589</v>
      </c>
      <c r="C828" s="26" t="s">
        <v>590</v>
      </c>
      <c r="D828" s="26" t="s">
        <v>326</v>
      </c>
      <c r="E828" s="223">
        <v>4</v>
      </c>
      <c r="F828" s="223">
        <v>15000</v>
      </c>
      <c r="G828" s="2">
        <f t="shared" si="128"/>
        <v>60000</v>
      </c>
      <c r="H828" s="238">
        <f t="shared" si="118"/>
        <v>2250</v>
      </c>
      <c r="I828" s="51">
        <f t="shared" ref="I828:I839" si="130">+F828*0.2</f>
        <v>3000</v>
      </c>
      <c r="J828" s="52">
        <f t="shared" si="129"/>
        <v>3.8207547169811322</v>
      </c>
      <c r="K828" s="53">
        <f t="shared" si="127"/>
        <v>15.283018867924529</v>
      </c>
      <c r="L828" s="52">
        <f>J828*E828</f>
        <v>15.283018867924529</v>
      </c>
      <c r="M828" s="245" t="s">
        <v>118</v>
      </c>
    </row>
    <row r="829" spans="1:13">
      <c r="A829" s="94" t="s">
        <v>588</v>
      </c>
      <c r="B829" s="95" t="s">
        <v>589</v>
      </c>
      <c r="C829" s="26" t="s">
        <v>590</v>
      </c>
      <c r="D829" s="26" t="s">
        <v>326</v>
      </c>
      <c r="E829" s="226">
        <v>4</v>
      </c>
      <c r="F829" s="235">
        <v>15000</v>
      </c>
      <c r="G829" s="2">
        <f t="shared" si="128"/>
        <v>60000</v>
      </c>
      <c r="H829" s="51">
        <f t="shared" si="118"/>
        <v>2250</v>
      </c>
      <c r="I829" s="51">
        <f t="shared" si="130"/>
        <v>3000</v>
      </c>
      <c r="J829" s="84">
        <f t="shared" si="129"/>
        <v>3.8207547169811322</v>
      </c>
      <c r="K829" s="52">
        <f>J829*E829</f>
        <v>15.283018867924529</v>
      </c>
      <c r="L829" s="219"/>
      <c r="M829" s="245" t="s">
        <v>23</v>
      </c>
    </row>
    <row r="830" spans="1:13">
      <c r="A830" s="218" t="s">
        <v>588</v>
      </c>
      <c r="B830" s="95" t="s">
        <v>589</v>
      </c>
      <c r="C830" s="26" t="s">
        <v>590</v>
      </c>
      <c r="D830" s="25" t="s">
        <v>326</v>
      </c>
      <c r="E830" s="49">
        <v>4</v>
      </c>
      <c r="F830" s="48">
        <v>15000</v>
      </c>
      <c r="G830" s="9">
        <f t="shared" si="128"/>
        <v>60000</v>
      </c>
      <c r="H830" s="51">
        <f t="shared" si="118"/>
        <v>2250</v>
      </c>
      <c r="I830" s="51">
        <f t="shared" si="130"/>
        <v>3000</v>
      </c>
      <c r="J830" s="52">
        <f t="shared" si="129"/>
        <v>3.8207547169811322</v>
      </c>
      <c r="K830" s="53">
        <f>+J830*E830</f>
        <v>15.283018867924529</v>
      </c>
      <c r="L830" s="54">
        <f>+J830*E830</f>
        <v>15.283018867924529</v>
      </c>
      <c r="M830" s="245" t="s">
        <v>30</v>
      </c>
    </row>
    <row r="831" spans="1:13">
      <c r="A831" s="94" t="s">
        <v>588</v>
      </c>
      <c r="B831" s="95" t="s">
        <v>589</v>
      </c>
      <c r="C831" s="26" t="s">
        <v>590</v>
      </c>
      <c r="D831" s="104" t="s">
        <v>326</v>
      </c>
      <c r="E831" s="226">
        <v>4</v>
      </c>
      <c r="F831" s="223">
        <v>15000</v>
      </c>
      <c r="G831" s="2">
        <f t="shared" si="128"/>
        <v>60000</v>
      </c>
      <c r="H831" s="238">
        <f t="shared" si="118"/>
        <v>2250</v>
      </c>
      <c r="I831" s="51">
        <f t="shared" si="130"/>
        <v>3000</v>
      </c>
      <c r="J831" s="52">
        <f>+(H831+I831+F831)/5300</f>
        <v>3.8207547169811322</v>
      </c>
      <c r="K831" s="53">
        <f>+J831*E831</f>
        <v>15.283018867924529</v>
      </c>
      <c r="L831" s="52">
        <f>E831*J831</f>
        <v>15.283018867924529</v>
      </c>
      <c r="M831" s="245" t="s">
        <v>93</v>
      </c>
    </row>
    <row r="832" spans="1:13">
      <c r="A832" s="94" t="s">
        <v>588</v>
      </c>
      <c r="B832" s="95" t="s">
        <v>589</v>
      </c>
      <c r="C832" s="26" t="s">
        <v>590</v>
      </c>
      <c r="D832" s="26" t="s">
        <v>326</v>
      </c>
      <c r="E832" s="226">
        <v>4</v>
      </c>
      <c r="F832" s="223">
        <v>15000</v>
      </c>
      <c r="G832" s="2">
        <f t="shared" si="128"/>
        <v>60000</v>
      </c>
      <c r="H832" s="238">
        <f t="shared" si="118"/>
        <v>2250</v>
      </c>
      <c r="I832" s="51">
        <f t="shared" si="130"/>
        <v>3000</v>
      </c>
      <c r="J832" s="52">
        <f>+(F832+H832+I832)/5300</f>
        <v>3.8207547169811322</v>
      </c>
      <c r="K832" s="52">
        <f>+J832*E832</f>
        <v>15.283018867924529</v>
      </c>
      <c r="L832" s="219"/>
      <c r="M832" s="245" t="s">
        <v>87</v>
      </c>
    </row>
    <row r="833" spans="1:13">
      <c r="A833" s="94" t="s">
        <v>588</v>
      </c>
      <c r="B833" s="95" t="s">
        <v>589</v>
      </c>
      <c r="C833" s="26" t="s">
        <v>590</v>
      </c>
      <c r="D833" s="26" t="s">
        <v>326</v>
      </c>
      <c r="E833" s="226">
        <v>4</v>
      </c>
      <c r="F833" s="223">
        <v>15000</v>
      </c>
      <c r="G833" s="2">
        <f t="shared" si="128"/>
        <v>60000</v>
      </c>
      <c r="H833" s="238">
        <f t="shared" si="118"/>
        <v>2250</v>
      </c>
      <c r="I833" s="51">
        <f t="shared" si="130"/>
        <v>3000</v>
      </c>
      <c r="J833" s="128">
        <f>+(F833+H833+I833)/5300</f>
        <v>3.8207547169811322</v>
      </c>
      <c r="K833" s="53">
        <f>+J833*E833</f>
        <v>15.283018867924529</v>
      </c>
      <c r="L833" s="52">
        <f>E833*J833</f>
        <v>15.283018867924529</v>
      </c>
      <c r="M833" s="245" t="s">
        <v>15</v>
      </c>
    </row>
    <row r="834" spans="1:13">
      <c r="A834" s="218" t="s">
        <v>588</v>
      </c>
      <c r="B834" s="95" t="s">
        <v>589</v>
      </c>
      <c r="C834" s="26" t="s">
        <v>590</v>
      </c>
      <c r="D834" s="25" t="s">
        <v>326</v>
      </c>
      <c r="E834" s="49">
        <v>4</v>
      </c>
      <c r="F834" s="48">
        <v>15000</v>
      </c>
      <c r="G834" s="9">
        <f t="shared" si="128"/>
        <v>60000</v>
      </c>
      <c r="H834" s="51">
        <f t="shared" si="118"/>
        <v>2250</v>
      </c>
      <c r="I834" s="51">
        <f t="shared" si="130"/>
        <v>3000</v>
      </c>
      <c r="J834" s="128">
        <f>+(I834+H834+F834)/5300</f>
        <v>3.8207547169811322</v>
      </c>
      <c r="K834" s="53">
        <f>+J834*E834</f>
        <v>15.283018867924529</v>
      </c>
      <c r="L834" s="52">
        <f>J834*E834</f>
        <v>15.283018867924529</v>
      </c>
      <c r="M834" s="245" t="s">
        <v>17</v>
      </c>
    </row>
    <row r="835" spans="1:13">
      <c r="A835" s="280">
        <v>3.4</v>
      </c>
      <c r="B835" s="13" t="s">
        <v>591</v>
      </c>
      <c r="C835" s="146" t="s">
        <v>592</v>
      </c>
      <c r="D835" s="222"/>
      <c r="E835" s="227"/>
      <c r="F835" s="236"/>
      <c r="G835" s="236"/>
      <c r="H835" s="239"/>
      <c r="I835" s="206">
        <f t="shared" si="130"/>
        <v>0</v>
      </c>
      <c r="J835" s="84"/>
      <c r="K835" s="241"/>
      <c r="L835" s="219"/>
      <c r="M835" s="245" t="s">
        <v>20</v>
      </c>
    </row>
    <row r="836" spans="1:13">
      <c r="A836" s="281">
        <v>3.4</v>
      </c>
      <c r="B836" s="13" t="s">
        <v>591</v>
      </c>
      <c r="C836" s="6" t="s">
        <v>592</v>
      </c>
      <c r="D836" s="223"/>
      <c r="E836" s="226"/>
      <c r="F836" s="223"/>
      <c r="G836" s="2"/>
      <c r="H836" s="51">
        <f>+F836*0.15</f>
        <v>0</v>
      </c>
      <c r="I836" s="51">
        <f t="shared" si="130"/>
        <v>0</v>
      </c>
      <c r="J836" s="52"/>
      <c r="K836" s="52"/>
      <c r="L836" s="219"/>
      <c r="M836" s="245" t="s">
        <v>89</v>
      </c>
    </row>
    <row r="837" spans="1:13">
      <c r="A837" s="280">
        <v>3.4</v>
      </c>
      <c r="B837" s="13" t="s">
        <v>591</v>
      </c>
      <c r="C837" s="6" t="s">
        <v>592</v>
      </c>
      <c r="D837" s="223"/>
      <c r="E837" s="226"/>
      <c r="F837" s="235"/>
      <c r="G837" s="2"/>
      <c r="H837" s="51"/>
      <c r="I837" s="51">
        <f t="shared" si="130"/>
        <v>0</v>
      </c>
      <c r="J837" s="241"/>
      <c r="K837" s="52"/>
      <c r="L837" s="219"/>
      <c r="M837" s="245" t="s">
        <v>23</v>
      </c>
    </row>
    <row r="838" spans="1:13">
      <c r="A838" s="151">
        <v>3.4</v>
      </c>
      <c r="B838" s="13" t="s">
        <v>591</v>
      </c>
      <c r="C838" s="6" t="s">
        <v>592</v>
      </c>
      <c r="D838" s="48"/>
      <c r="E838" s="49"/>
      <c r="F838" s="48"/>
      <c r="G838" s="9"/>
      <c r="H838" s="69"/>
      <c r="I838" s="69">
        <f t="shared" si="130"/>
        <v>0</v>
      </c>
      <c r="J838" s="54"/>
      <c r="K838" s="73"/>
      <c r="L838" s="54"/>
      <c r="M838" s="245" t="s">
        <v>30</v>
      </c>
    </row>
    <row r="839" spans="1:13">
      <c r="A839" s="280">
        <v>3.4</v>
      </c>
      <c r="B839" s="13" t="s">
        <v>591</v>
      </c>
      <c r="C839" s="6" t="s">
        <v>592</v>
      </c>
      <c r="D839" s="104"/>
      <c r="E839" s="226"/>
      <c r="F839" s="223"/>
      <c r="G839" s="2"/>
      <c r="H839" s="238">
        <f>+F839*0.15</f>
        <v>0</v>
      </c>
      <c r="I839" s="51">
        <f t="shared" si="130"/>
        <v>0</v>
      </c>
      <c r="J839" s="52"/>
      <c r="K839" s="53"/>
      <c r="L839" s="52"/>
      <c r="M839" s="245" t="s">
        <v>93</v>
      </c>
    </row>
    <row r="840" spans="1:13">
      <c r="A840" s="280">
        <v>3.4</v>
      </c>
      <c r="B840" s="13" t="s">
        <v>591</v>
      </c>
      <c r="C840" s="6" t="s">
        <v>592</v>
      </c>
      <c r="D840" s="223"/>
      <c r="E840" s="226"/>
      <c r="F840" s="223"/>
      <c r="G840" s="2"/>
      <c r="H840" s="238">
        <f>+F840*0.15</f>
        <v>0</v>
      </c>
      <c r="I840" s="51">
        <f>+F840*0.15</f>
        <v>0</v>
      </c>
      <c r="J840" s="52"/>
      <c r="K840" s="52"/>
      <c r="L840" s="219"/>
      <c r="M840" s="245" t="s">
        <v>87</v>
      </c>
    </row>
    <row r="841" spans="1:13">
      <c r="A841" s="280">
        <v>3.4</v>
      </c>
      <c r="B841" s="13" t="s">
        <v>591</v>
      </c>
      <c r="C841" s="6" t="s">
        <v>592</v>
      </c>
      <c r="D841" s="223"/>
      <c r="E841" s="226"/>
      <c r="F841" s="223"/>
      <c r="G841" s="2"/>
      <c r="H841" s="238"/>
      <c r="I841" s="51">
        <f>+F841*0.2</f>
        <v>0</v>
      </c>
      <c r="J841" s="128"/>
      <c r="K841" s="53"/>
      <c r="L841" s="52"/>
      <c r="M841" s="245" t="s">
        <v>15</v>
      </c>
    </row>
    <row r="842" spans="1:13">
      <c r="A842" s="151">
        <v>3.4</v>
      </c>
      <c r="B842" s="13" t="s">
        <v>591</v>
      </c>
      <c r="C842" s="6" t="s">
        <v>592</v>
      </c>
      <c r="D842" s="48"/>
      <c r="E842" s="49"/>
      <c r="F842" s="48"/>
      <c r="G842" s="9">
        <f>F842*E842</f>
        <v>0</v>
      </c>
      <c r="H842" s="51"/>
      <c r="I842" s="51">
        <f>+F842*0.15</f>
        <v>0</v>
      </c>
      <c r="J842" s="128"/>
      <c r="K842" s="53"/>
      <c r="L842" s="52"/>
      <c r="M842" s="245" t="s">
        <v>17</v>
      </c>
    </row>
    <row r="843" spans="1:13">
      <c r="A843" s="151">
        <v>3.4</v>
      </c>
      <c r="B843" s="13" t="s">
        <v>591</v>
      </c>
      <c r="C843" s="6" t="s">
        <v>592</v>
      </c>
      <c r="D843" s="48"/>
      <c r="E843" s="49"/>
      <c r="F843" s="48"/>
      <c r="G843" s="9"/>
      <c r="H843" s="51"/>
      <c r="I843" s="51">
        <f t="shared" ref="I843:I848" si="131">+F843*0.2</f>
        <v>0</v>
      </c>
      <c r="J843" s="128"/>
      <c r="K843" s="53"/>
      <c r="L843" s="52"/>
      <c r="M843" s="245" t="s">
        <v>17</v>
      </c>
    </row>
    <row r="844" spans="1:13">
      <c r="A844" s="94" t="s">
        <v>593</v>
      </c>
      <c r="B844" s="95" t="s">
        <v>594</v>
      </c>
      <c r="C844" s="207" t="s">
        <v>595</v>
      </c>
      <c r="D844" s="207" t="s">
        <v>326</v>
      </c>
      <c r="E844" s="227">
        <v>2</v>
      </c>
      <c r="F844" s="236">
        <v>12000</v>
      </c>
      <c r="G844" s="236">
        <f t="shared" ref="G844:G861" si="132">F844*E844</f>
        <v>24000</v>
      </c>
      <c r="H844" s="239">
        <f t="shared" ref="H844:H862" si="133">+F844*0.15</f>
        <v>1800</v>
      </c>
      <c r="I844" s="206">
        <f t="shared" si="131"/>
        <v>2400</v>
      </c>
      <c r="J844" s="84">
        <f t="shared" ref="J844:J858" si="134">+(F844+H844+I844)/5300</f>
        <v>3.0566037735849059</v>
      </c>
      <c r="K844" s="241">
        <f>J844*E844</f>
        <v>6.1132075471698117</v>
      </c>
      <c r="L844" s="219"/>
      <c r="M844" s="245" t="s">
        <v>20</v>
      </c>
    </row>
    <row r="845" spans="1:13">
      <c r="A845" s="1" t="s">
        <v>593</v>
      </c>
      <c r="B845" s="95" t="s">
        <v>594</v>
      </c>
      <c r="C845" s="26" t="s">
        <v>595</v>
      </c>
      <c r="D845" s="26" t="s">
        <v>326</v>
      </c>
      <c r="E845" s="226">
        <v>2</v>
      </c>
      <c r="F845" s="223">
        <v>12000</v>
      </c>
      <c r="G845" s="2">
        <f t="shared" si="132"/>
        <v>24000</v>
      </c>
      <c r="H845" s="51">
        <f t="shared" si="133"/>
        <v>1800</v>
      </c>
      <c r="I845" s="51">
        <f t="shared" si="131"/>
        <v>2400</v>
      </c>
      <c r="J845" s="52">
        <f t="shared" si="134"/>
        <v>3.0566037735849059</v>
      </c>
      <c r="K845" s="52">
        <f t="shared" ref="K845:K856" si="135">+J845*E845</f>
        <v>6.1132075471698117</v>
      </c>
      <c r="L845" s="219"/>
      <c r="M845" s="245" t="s">
        <v>89</v>
      </c>
    </row>
    <row r="846" spans="1:13">
      <c r="A846" s="94" t="s">
        <v>593</v>
      </c>
      <c r="B846" s="95" t="s">
        <v>594</v>
      </c>
      <c r="C846" s="26" t="s">
        <v>595</v>
      </c>
      <c r="D846" s="26" t="s">
        <v>326</v>
      </c>
      <c r="E846" s="226">
        <v>2</v>
      </c>
      <c r="F846" s="235">
        <v>12000</v>
      </c>
      <c r="G846" s="2">
        <f t="shared" si="132"/>
        <v>24000</v>
      </c>
      <c r="H846" s="51">
        <f t="shared" si="133"/>
        <v>1800</v>
      </c>
      <c r="I846" s="51">
        <f t="shared" si="131"/>
        <v>2400</v>
      </c>
      <c r="J846" s="241">
        <f t="shared" si="134"/>
        <v>3.0566037735849059</v>
      </c>
      <c r="K846" s="52">
        <f t="shared" si="135"/>
        <v>6.1132075471698117</v>
      </c>
      <c r="L846" s="219"/>
      <c r="M846" s="245" t="s">
        <v>23</v>
      </c>
    </row>
    <row r="847" spans="1:13">
      <c r="A847" s="218" t="s">
        <v>593</v>
      </c>
      <c r="B847" s="95" t="s">
        <v>594</v>
      </c>
      <c r="C847" s="26" t="s">
        <v>595</v>
      </c>
      <c r="D847" s="25" t="s">
        <v>326</v>
      </c>
      <c r="E847" s="49">
        <v>2</v>
      </c>
      <c r="F847" s="48">
        <v>12000</v>
      </c>
      <c r="G847" s="9">
        <f t="shared" si="132"/>
        <v>24000</v>
      </c>
      <c r="H847" s="69">
        <f t="shared" si="133"/>
        <v>1800</v>
      </c>
      <c r="I847" s="69">
        <f t="shared" si="131"/>
        <v>2400</v>
      </c>
      <c r="J847" s="54">
        <f t="shared" si="134"/>
        <v>3.0566037735849059</v>
      </c>
      <c r="K847" s="73">
        <f t="shared" si="135"/>
        <v>6.1132075471698117</v>
      </c>
      <c r="L847" s="54">
        <f>+J847*E847</f>
        <v>6.1132075471698117</v>
      </c>
      <c r="M847" s="245" t="s">
        <v>30</v>
      </c>
    </row>
    <row r="848" spans="1:13">
      <c r="A848" s="94" t="s">
        <v>593</v>
      </c>
      <c r="B848" s="95" t="s">
        <v>594</v>
      </c>
      <c r="C848" s="26" t="s">
        <v>595</v>
      </c>
      <c r="D848" s="104" t="s">
        <v>326</v>
      </c>
      <c r="E848" s="226">
        <v>2</v>
      </c>
      <c r="F848" s="223">
        <v>12000</v>
      </c>
      <c r="G848" s="2">
        <f t="shared" si="132"/>
        <v>24000</v>
      </c>
      <c r="H848" s="238">
        <f t="shared" si="133"/>
        <v>1800</v>
      </c>
      <c r="I848" s="51">
        <f t="shared" si="131"/>
        <v>2400</v>
      </c>
      <c r="J848" s="52">
        <f t="shared" si="134"/>
        <v>3.0566037735849059</v>
      </c>
      <c r="K848" s="53">
        <f t="shared" si="135"/>
        <v>6.1132075471698117</v>
      </c>
      <c r="L848" s="52">
        <f>J848*E848</f>
        <v>6.1132075471698117</v>
      </c>
      <c r="M848" s="245" t="s">
        <v>93</v>
      </c>
    </row>
    <row r="849" spans="1:13">
      <c r="A849" s="94" t="s">
        <v>593</v>
      </c>
      <c r="B849" s="95" t="s">
        <v>594</v>
      </c>
      <c r="C849" s="26" t="s">
        <v>595</v>
      </c>
      <c r="D849" s="26" t="s">
        <v>326</v>
      </c>
      <c r="E849" s="226">
        <v>2</v>
      </c>
      <c r="F849" s="223">
        <v>12000</v>
      </c>
      <c r="G849" s="2">
        <f t="shared" si="132"/>
        <v>24000</v>
      </c>
      <c r="H849" s="238">
        <f t="shared" si="133"/>
        <v>1800</v>
      </c>
      <c r="I849" s="51">
        <f>+F849*0.15</f>
        <v>1800</v>
      </c>
      <c r="J849" s="52">
        <f t="shared" si="134"/>
        <v>2.9433962264150941</v>
      </c>
      <c r="K849" s="52">
        <f t="shared" si="135"/>
        <v>5.8867924528301883</v>
      </c>
      <c r="L849" s="219"/>
      <c r="M849" s="245" t="s">
        <v>87</v>
      </c>
    </row>
    <row r="850" spans="1:13">
      <c r="A850" s="94" t="s">
        <v>593</v>
      </c>
      <c r="B850" s="95" t="s">
        <v>594</v>
      </c>
      <c r="C850" s="26" t="s">
        <v>595</v>
      </c>
      <c r="D850" s="26" t="s">
        <v>326</v>
      </c>
      <c r="E850" s="226">
        <v>2</v>
      </c>
      <c r="F850" s="223">
        <v>12000</v>
      </c>
      <c r="G850" s="2">
        <f t="shared" si="132"/>
        <v>24000</v>
      </c>
      <c r="H850" s="238">
        <f t="shared" si="133"/>
        <v>1800</v>
      </c>
      <c r="I850" s="51">
        <f>+F850*0.2</f>
        <v>2400</v>
      </c>
      <c r="J850" s="128">
        <f t="shared" si="134"/>
        <v>3.0566037735849059</v>
      </c>
      <c r="K850" s="53">
        <f t="shared" si="135"/>
        <v>6.1132075471698117</v>
      </c>
      <c r="L850" s="52">
        <f>E850*J850</f>
        <v>6.1132075471698117</v>
      </c>
      <c r="M850" s="245" t="s">
        <v>15</v>
      </c>
    </row>
    <row r="851" spans="1:13">
      <c r="A851" s="218" t="s">
        <v>593</v>
      </c>
      <c r="B851" s="95" t="s">
        <v>594</v>
      </c>
      <c r="C851" s="26" t="s">
        <v>595</v>
      </c>
      <c r="D851" s="25" t="s">
        <v>326</v>
      </c>
      <c r="E851" s="49">
        <v>2</v>
      </c>
      <c r="F851" s="48">
        <v>12000</v>
      </c>
      <c r="G851" s="9">
        <f t="shared" si="132"/>
        <v>24000</v>
      </c>
      <c r="H851" s="51">
        <f t="shared" si="133"/>
        <v>1800</v>
      </c>
      <c r="I851" s="51">
        <f>+F851*0.15</f>
        <v>1800</v>
      </c>
      <c r="J851" s="128">
        <f t="shared" si="134"/>
        <v>2.9433962264150941</v>
      </c>
      <c r="K851" s="53">
        <f t="shared" si="135"/>
        <v>5.8867924528301883</v>
      </c>
      <c r="L851" s="52">
        <f>J851*E851</f>
        <v>5.8867924528301883</v>
      </c>
      <c r="M851" s="245" t="s">
        <v>17</v>
      </c>
    </row>
    <row r="852" spans="1:13">
      <c r="A852" s="218" t="s">
        <v>593</v>
      </c>
      <c r="B852" s="95" t="s">
        <v>594</v>
      </c>
      <c r="C852" s="26" t="s">
        <v>595</v>
      </c>
      <c r="D852" s="25" t="s">
        <v>326</v>
      </c>
      <c r="E852" s="49">
        <v>4</v>
      </c>
      <c r="F852" s="48">
        <v>12000</v>
      </c>
      <c r="G852" s="9">
        <f t="shared" si="132"/>
        <v>48000</v>
      </c>
      <c r="H852" s="51">
        <f t="shared" si="133"/>
        <v>1800</v>
      </c>
      <c r="I852" s="51">
        <f>+F852*0.2</f>
        <v>2400</v>
      </c>
      <c r="J852" s="128">
        <f t="shared" si="134"/>
        <v>3.0566037735849059</v>
      </c>
      <c r="K852" s="53">
        <f t="shared" si="135"/>
        <v>12.226415094339623</v>
      </c>
      <c r="L852" s="52">
        <f>J852*E852</f>
        <v>12.226415094339623</v>
      </c>
      <c r="M852" s="245" t="s">
        <v>17</v>
      </c>
    </row>
    <row r="853" spans="1:13">
      <c r="A853" s="94" t="s">
        <v>596</v>
      </c>
      <c r="B853" s="95" t="s">
        <v>594</v>
      </c>
      <c r="C853" s="207" t="s">
        <v>595</v>
      </c>
      <c r="D853" s="207" t="s">
        <v>326</v>
      </c>
      <c r="E853" s="227">
        <v>2</v>
      </c>
      <c r="F853" s="236">
        <v>12000</v>
      </c>
      <c r="G853" s="236">
        <f t="shared" si="132"/>
        <v>24000</v>
      </c>
      <c r="H853" s="239">
        <f t="shared" si="133"/>
        <v>1800</v>
      </c>
      <c r="I853" s="206">
        <f>+F853*0.2</f>
        <v>2400</v>
      </c>
      <c r="J853" s="84">
        <f t="shared" si="134"/>
        <v>3.0566037735849059</v>
      </c>
      <c r="K853" s="241">
        <f t="shared" si="135"/>
        <v>6.1132075471698117</v>
      </c>
      <c r="L853" s="219"/>
      <c r="M853" s="245" t="s">
        <v>20</v>
      </c>
    </row>
    <row r="854" spans="1:13">
      <c r="A854" s="1" t="s">
        <v>596</v>
      </c>
      <c r="B854" s="95" t="s">
        <v>594</v>
      </c>
      <c r="C854" s="26" t="s">
        <v>595</v>
      </c>
      <c r="D854" s="26" t="s">
        <v>326</v>
      </c>
      <c r="E854" s="226">
        <v>2</v>
      </c>
      <c r="F854" s="223">
        <v>12000</v>
      </c>
      <c r="G854" s="2">
        <f t="shared" si="132"/>
        <v>24000</v>
      </c>
      <c r="H854" s="51">
        <f t="shared" si="133"/>
        <v>1800</v>
      </c>
      <c r="I854" s="51">
        <f>+F854*0.2</f>
        <v>2400</v>
      </c>
      <c r="J854" s="52">
        <f t="shared" si="134"/>
        <v>3.0566037735849059</v>
      </c>
      <c r="K854" s="52">
        <f t="shared" si="135"/>
        <v>6.1132075471698117</v>
      </c>
      <c r="L854" s="219"/>
      <c r="M854" s="245" t="s">
        <v>89</v>
      </c>
    </row>
    <row r="855" spans="1:13">
      <c r="A855" s="94" t="s">
        <v>596</v>
      </c>
      <c r="B855" s="95" t="s">
        <v>594</v>
      </c>
      <c r="C855" s="26" t="s">
        <v>595</v>
      </c>
      <c r="D855" s="26" t="s">
        <v>326</v>
      </c>
      <c r="E855" s="226">
        <v>2</v>
      </c>
      <c r="F855" s="223">
        <v>12000</v>
      </c>
      <c r="G855" s="2">
        <f t="shared" si="132"/>
        <v>24000</v>
      </c>
      <c r="H855" s="238">
        <f t="shared" si="133"/>
        <v>1800</v>
      </c>
      <c r="I855" s="51">
        <f>+F855*0.15</f>
        <v>1800</v>
      </c>
      <c r="J855" s="240">
        <f t="shared" si="134"/>
        <v>2.9433962264150941</v>
      </c>
      <c r="K855" s="51">
        <f t="shared" si="135"/>
        <v>5.8867924528301883</v>
      </c>
      <c r="L855" s="240">
        <f>+E855*J855</f>
        <v>5.8867924528301883</v>
      </c>
      <c r="M855" s="245" t="s">
        <v>117</v>
      </c>
    </row>
    <row r="856" spans="1:13">
      <c r="A856" s="1" t="s">
        <v>596</v>
      </c>
      <c r="B856" s="95" t="s">
        <v>594</v>
      </c>
      <c r="C856" s="26" t="s">
        <v>595</v>
      </c>
      <c r="D856" s="26" t="s">
        <v>326</v>
      </c>
      <c r="E856" s="223">
        <v>2</v>
      </c>
      <c r="F856" s="223">
        <v>12000</v>
      </c>
      <c r="G856" s="2">
        <f t="shared" si="132"/>
        <v>24000</v>
      </c>
      <c r="H856" s="238">
        <f t="shared" si="133"/>
        <v>1800</v>
      </c>
      <c r="I856" s="51">
        <f t="shared" ref="I856:I861" si="136">+F856*0.2</f>
        <v>2400</v>
      </c>
      <c r="J856" s="52">
        <f t="shared" si="134"/>
        <v>3.0566037735849059</v>
      </c>
      <c r="K856" s="53">
        <f t="shared" si="135"/>
        <v>6.1132075471698117</v>
      </c>
      <c r="L856" s="52">
        <f>J856*E856</f>
        <v>6.1132075471698117</v>
      </c>
      <c r="M856" s="245" t="s">
        <v>118</v>
      </c>
    </row>
    <row r="857" spans="1:13">
      <c r="A857" s="94" t="s">
        <v>596</v>
      </c>
      <c r="B857" s="95" t="s">
        <v>594</v>
      </c>
      <c r="C857" s="26" t="s">
        <v>595</v>
      </c>
      <c r="D857" s="26" t="s">
        <v>326</v>
      </c>
      <c r="E857" s="226">
        <v>2</v>
      </c>
      <c r="F857" s="235">
        <v>12000</v>
      </c>
      <c r="G857" s="2">
        <f t="shared" si="132"/>
        <v>24000</v>
      </c>
      <c r="H857" s="51">
        <f t="shared" si="133"/>
        <v>1800</v>
      </c>
      <c r="I857" s="51">
        <f t="shared" si="136"/>
        <v>2400</v>
      </c>
      <c r="J857" s="84">
        <f t="shared" si="134"/>
        <v>3.0566037735849059</v>
      </c>
      <c r="K857" s="52">
        <f>J857*E857</f>
        <v>6.1132075471698117</v>
      </c>
      <c r="L857" s="219"/>
      <c r="M857" s="245" t="s">
        <v>23</v>
      </c>
    </row>
    <row r="858" spans="1:13">
      <c r="A858" s="218" t="s">
        <v>596</v>
      </c>
      <c r="B858" s="95" t="s">
        <v>594</v>
      </c>
      <c r="C858" s="26" t="s">
        <v>595</v>
      </c>
      <c r="D858" s="25" t="s">
        <v>326</v>
      </c>
      <c r="E858" s="49">
        <v>2</v>
      </c>
      <c r="F858" s="48">
        <v>12000</v>
      </c>
      <c r="G858" s="9">
        <f t="shared" si="132"/>
        <v>24000</v>
      </c>
      <c r="H858" s="51">
        <f t="shared" si="133"/>
        <v>1800</v>
      </c>
      <c r="I858" s="51">
        <f t="shared" si="136"/>
        <v>2400</v>
      </c>
      <c r="J858" s="52">
        <f t="shared" si="134"/>
        <v>3.0566037735849059</v>
      </c>
      <c r="K858" s="53">
        <f>+J858*E858</f>
        <v>6.1132075471698117</v>
      </c>
      <c r="L858" s="54">
        <f>+J858*E858</f>
        <v>6.1132075471698117</v>
      </c>
      <c r="M858" s="245" t="s">
        <v>30</v>
      </c>
    </row>
    <row r="859" spans="1:13">
      <c r="A859" s="94" t="s">
        <v>596</v>
      </c>
      <c r="B859" s="95" t="s">
        <v>594</v>
      </c>
      <c r="C859" s="26" t="s">
        <v>595</v>
      </c>
      <c r="D859" s="104" t="s">
        <v>326</v>
      </c>
      <c r="E859" s="226">
        <v>2</v>
      </c>
      <c r="F859" s="223">
        <v>12000</v>
      </c>
      <c r="G859" s="2">
        <f t="shared" si="132"/>
        <v>24000</v>
      </c>
      <c r="H859" s="238">
        <f t="shared" si="133"/>
        <v>1800</v>
      </c>
      <c r="I859" s="51">
        <f t="shared" si="136"/>
        <v>2400</v>
      </c>
      <c r="J859" s="52">
        <f>+(H859+I859+F859)/5300</f>
        <v>3.0566037735849059</v>
      </c>
      <c r="K859" s="53">
        <f>+J859*E859</f>
        <v>6.1132075471698117</v>
      </c>
      <c r="L859" s="52">
        <f>E859*J859</f>
        <v>6.1132075471698117</v>
      </c>
      <c r="M859" s="245" t="s">
        <v>93</v>
      </c>
    </row>
    <row r="860" spans="1:13">
      <c r="A860" s="94" t="s">
        <v>596</v>
      </c>
      <c r="B860" s="95" t="s">
        <v>594</v>
      </c>
      <c r="C860" s="26" t="s">
        <v>595</v>
      </c>
      <c r="D860" s="26" t="s">
        <v>326</v>
      </c>
      <c r="E860" s="226">
        <v>2</v>
      </c>
      <c r="F860" s="223">
        <v>12000</v>
      </c>
      <c r="G860" s="2">
        <f t="shared" si="132"/>
        <v>24000</v>
      </c>
      <c r="H860" s="238">
        <f t="shared" si="133"/>
        <v>1800</v>
      </c>
      <c r="I860" s="51">
        <f t="shared" si="136"/>
        <v>2400</v>
      </c>
      <c r="J860" s="52">
        <f>+(F860+H860+I860)/5300</f>
        <v>3.0566037735849059</v>
      </c>
      <c r="K860" s="52">
        <f>+J860*E860</f>
        <v>6.1132075471698117</v>
      </c>
      <c r="L860" s="219"/>
      <c r="M860" s="245" t="s">
        <v>87</v>
      </c>
    </row>
    <row r="861" spans="1:13">
      <c r="A861" s="94" t="s">
        <v>596</v>
      </c>
      <c r="B861" s="95" t="s">
        <v>594</v>
      </c>
      <c r="C861" s="26" t="s">
        <v>595</v>
      </c>
      <c r="D861" s="26" t="s">
        <v>326</v>
      </c>
      <c r="E861" s="226">
        <v>2</v>
      </c>
      <c r="F861" s="223">
        <v>12000</v>
      </c>
      <c r="G861" s="2">
        <f t="shared" si="132"/>
        <v>24000</v>
      </c>
      <c r="H861" s="238">
        <f t="shared" si="133"/>
        <v>1800</v>
      </c>
      <c r="I861" s="51">
        <f t="shared" si="136"/>
        <v>2400</v>
      </c>
      <c r="J861" s="128">
        <f>+(F861+H861+I861)/5300</f>
        <v>3.0566037735849059</v>
      </c>
      <c r="K861" s="53">
        <f>+J861*E861</f>
        <v>6.1132075471698117</v>
      </c>
      <c r="L861" s="52">
        <f>E861*J861</f>
        <v>6.1132075471698117</v>
      </c>
      <c r="M861" s="245" t="s">
        <v>15</v>
      </c>
    </row>
    <row r="862" spans="1:13">
      <c r="A862" s="280">
        <v>3.3</v>
      </c>
      <c r="B862" s="13" t="s">
        <v>597</v>
      </c>
      <c r="C862" s="6" t="s">
        <v>598</v>
      </c>
      <c r="D862" s="6"/>
      <c r="E862" s="45"/>
      <c r="F862" s="6"/>
      <c r="G862" s="2"/>
      <c r="H862" s="238">
        <f t="shared" si="133"/>
        <v>0</v>
      </c>
      <c r="I862" s="51">
        <f>+F862*0.15</f>
        <v>0</v>
      </c>
      <c r="J862" s="52"/>
      <c r="K862" s="52"/>
      <c r="L862" s="219"/>
      <c r="M862" s="245" t="s">
        <v>87</v>
      </c>
    </row>
    <row r="863" spans="1:13">
      <c r="A863" s="280">
        <v>3.3</v>
      </c>
      <c r="B863" s="13" t="s">
        <v>597</v>
      </c>
      <c r="C863" s="146" t="s">
        <v>599</v>
      </c>
      <c r="D863" s="146"/>
      <c r="E863" s="213"/>
      <c r="F863" s="147"/>
      <c r="G863" s="236"/>
      <c r="H863" s="239"/>
      <c r="I863" s="206">
        <f t="shared" ref="I863:I868" si="137">+F863*0.2</f>
        <v>0</v>
      </c>
      <c r="J863" s="84"/>
      <c r="K863" s="241"/>
      <c r="L863" s="219"/>
      <c r="M863" s="245" t="s">
        <v>20</v>
      </c>
    </row>
    <row r="864" spans="1:13">
      <c r="A864" s="281">
        <v>3.3</v>
      </c>
      <c r="B864" s="13" t="s">
        <v>597</v>
      </c>
      <c r="C864" s="6" t="s">
        <v>599</v>
      </c>
      <c r="D864" s="6"/>
      <c r="E864" s="45"/>
      <c r="F864" s="6"/>
      <c r="G864" s="2"/>
      <c r="H864" s="51">
        <f>+F864*0.15</f>
        <v>0</v>
      </c>
      <c r="I864" s="51">
        <f t="shared" si="137"/>
        <v>0</v>
      </c>
      <c r="J864" s="52"/>
      <c r="K864" s="52"/>
      <c r="L864" s="219"/>
      <c r="M864" s="245" t="s">
        <v>89</v>
      </c>
    </row>
    <row r="865" spans="1:13">
      <c r="A865" s="280">
        <v>3.3</v>
      </c>
      <c r="B865" s="13" t="s">
        <v>597</v>
      </c>
      <c r="C865" s="6" t="s">
        <v>599</v>
      </c>
      <c r="D865" s="6"/>
      <c r="E865" s="45"/>
      <c r="F865" s="234"/>
      <c r="G865" s="2"/>
      <c r="H865" s="51">
        <f>+F865*0.15</f>
        <v>0</v>
      </c>
      <c r="I865" s="51">
        <f t="shared" si="137"/>
        <v>0</v>
      </c>
      <c r="J865" s="241"/>
      <c r="K865" s="52"/>
      <c r="L865" s="219"/>
      <c r="M865" s="245" t="s">
        <v>23</v>
      </c>
    </row>
    <row r="866" spans="1:13">
      <c r="A866" s="151">
        <v>3.3</v>
      </c>
      <c r="B866" s="13" t="s">
        <v>597</v>
      </c>
      <c r="C866" s="6" t="s">
        <v>599</v>
      </c>
      <c r="D866" s="23"/>
      <c r="E866" s="65"/>
      <c r="F866" s="23"/>
      <c r="G866" s="9"/>
      <c r="H866" s="69"/>
      <c r="I866" s="69">
        <f t="shared" si="137"/>
        <v>0</v>
      </c>
      <c r="J866" s="54"/>
      <c r="K866" s="73"/>
      <c r="L866" s="54"/>
      <c r="M866" s="245" t="s">
        <v>30</v>
      </c>
    </row>
    <row r="867" spans="1:13">
      <c r="A867" s="280">
        <v>3.3</v>
      </c>
      <c r="B867" s="13" t="s">
        <v>597</v>
      </c>
      <c r="C867" s="6" t="s">
        <v>599</v>
      </c>
      <c r="D867" s="156"/>
      <c r="E867" s="45"/>
      <c r="F867" s="6"/>
      <c r="G867" s="2"/>
      <c r="H867" s="238">
        <f>+F867*0.15</f>
        <v>0</v>
      </c>
      <c r="I867" s="51">
        <f t="shared" si="137"/>
        <v>0</v>
      </c>
      <c r="J867" s="52"/>
      <c r="K867" s="53"/>
      <c r="L867" s="52"/>
      <c r="M867" s="245" t="s">
        <v>93</v>
      </c>
    </row>
    <row r="868" spans="1:13">
      <c r="A868" s="280">
        <v>3.3</v>
      </c>
      <c r="B868" s="13" t="s">
        <v>597</v>
      </c>
      <c r="C868" s="6" t="s">
        <v>599</v>
      </c>
      <c r="D868" s="6"/>
      <c r="E868" s="45"/>
      <c r="F868" s="6"/>
      <c r="G868" s="2"/>
      <c r="H868" s="238"/>
      <c r="I868" s="51">
        <f t="shared" si="137"/>
        <v>0</v>
      </c>
      <c r="J868" s="128"/>
      <c r="K868" s="53"/>
      <c r="L868" s="52"/>
      <c r="M868" s="245" t="s">
        <v>15</v>
      </c>
    </row>
    <row r="869" spans="1:13">
      <c r="A869" s="151">
        <v>3.3</v>
      </c>
      <c r="B869" s="13" t="s">
        <v>597</v>
      </c>
      <c r="C869" s="6" t="s">
        <v>599</v>
      </c>
      <c r="D869" s="23"/>
      <c r="E869" s="65"/>
      <c r="F869" s="23"/>
      <c r="G869" s="9">
        <f>F869*E869</f>
        <v>0</v>
      </c>
      <c r="H869" s="51"/>
      <c r="I869" s="51">
        <f>+F869*0.15</f>
        <v>0</v>
      </c>
      <c r="J869" s="128"/>
      <c r="K869" s="53"/>
      <c r="L869" s="52"/>
      <c r="M869" s="245" t="s">
        <v>17</v>
      </c>
    </row>
    <row r="870" spans="1:13">
      <c r="A870" s="151">
        <v>3.3</v>
      </c>
      <c r="B870" s="13" t="s">
        <v>597</v>
      </c>
      <c r="C870" s="6" t="s">
        <v>599</v>
      </c>
      <c r="D870" s="23"/>
      <c r="E870" s="65"/>
      <c r="F870" s="23"/>
      <c r="G870" s="9"/>
      <c r="H870" s="51"/>
      <c r="I870" s="51">
        <f t="shared" ref="I870:I875" si="138">+F870*0.2</f>
        <v>0</v>
      </c>
      <c r="J870" s="128"/>
      <c r="K870" s="53"/>
      <c r="L870" s="52"/>
      <c r="M870" s="245" t="s">
        <v>17</v>
      </c>
    </row>
    <row r="871" spans="1:13">
      <c r="A871" s="94" t="s">
        <v>600</v>
      </c>
      <c r="B871" s="95" t="s">
        <v>601</v>
      </c>
      <c r="C871" s="207" t="s">
        <v>602</v>
      </c>
      <c r="D871" s="207" t="s">
        <v>326</v>
      </c>
      <c r="E871" s="227">
        <v>12</v>
      </c>
      <c r="F871" s="236">
        <v>12000</v>
      </c>
      <c r="G871" s="236">
        <f t="shared" ref="G871:G903" si="139">F871*E871</f>
        <v>144000</v>
      </c>
      <c r="H871" s="239">
        <f t="shared" ref="H871:H899" si="140">+F871*0.15</f>
        <v>1800</v>
      </c>
      <c r="I871" s="206">
        <f t="shared" si="138"/>
        <v>2400</v>
      </c>
      <c r="J871" s="84">
        <f t="shared" ref="J871:J894" si="141">+(F871+H871+I871)/5300</f>
        <v>3.0566037735849059</v>
      </c>
      <c r="K871" s="241">
        <f>J871*E871</f>
        <v>36.679245283018872</v>
      </c>
      <c r="L871" s="219"/>
      <c r="M871" s="245" t="s">
        <v>20</v>
      </c>
    </row>
    <row r="872" spans="1:13">
      <c r="A872" s="1" t="s">
        <v>600</v>
      </c>
      <c r="B872" s="95" t="s">
        <v>601</v>
      </c>
      <c r="C872" s="26" t="s">
        <v>602</v>
      </c>
      <c r="D872" s="26" t="s">
        <v>326</v>
      </c>
      <c r="E872" s="226">
        <v>12</v>
      </c>
      <c r="F872" s="223">
        <v>12000</v>
      </c>
      <c r="G872" s="2">
        <f t="shared" si="139"/>
        <v>144000</v>
      </c>
      <c r="H872" s="51">
        <f t="shared" si="140"/>
        <v>1800</v>
      </c>
      <c r="I872" s="51">
        <f t="shared" si="138"/>
        <v>2400</v>
      </c>
      <c r="J872" s="52">
        <f t="shared" si="141"/>
        <v>3.0566037735849059</v>
      </c>
      <c r="K872" s="52">
        <f t="shared" ref="K872:K879" si="142">+J872*E872</f>
        <v>36.679245283018872</v>
      </c>
      <c r="L872" s="219"/>
      <c r="M872" s="245" t="s">
        <v>89</v>
      </c>
    </row>
    <row r="873" spans="1:13">
      <c r="A873" s="94" t="s">
        <v>600</v>
      </c>
      <c r="B873" s="95" t="s">
        <v>601</v>
      </c>
      <c r="C873" s="26" t="s">
        <v>602</v>
      </c>
      <c r="D873" s="26" t="s">
        <v>326</v>
      </c>
      <c r="E873" s="226">
        <v>12</v>
      </c>
      <c r="F873" s="235">
        <v>12000</v>
      </c>
      <c r="G873" s="2">
        <f t="shared" si="139"/>
        <v>144000</v>
      </c>
      <c r="H873" s="51">
        <f t="shared" si="140"/>
        <v>1800</v>
      </c>
      <c r="I873" s="51">
        <f t="shared" si="138"/>
        <v>2400</v>
      </c>
      <c r="J873" s="241">
        <f t="shared" si="141"/>
        <v>3.0566037735849059</v>
      </c>
      <c r="K873" s="52">
        <f t="shared" si="142"/>
        <v>36.679245283018872</v>
      </c>
      <c r="L873" s="219"/>
      <c r="M873" s="245" t="s">
        <v>23</v>
      </c>
    </row>
    <row r="874" spans="1:13">
      <c r="A874" s="218" t="s">
        <v>600</v>
      </c>
      <c r="B874" s="95" t="s">
        <v>601</v>
      </c>
      <c r="C874" s="26" t="s">
        <v>602</v>
      </c>
      <c r="D874" s="25" t="s">
        <v>326</v>
      </c>
      <c r="E874" s="49">
        <v>12</v>
      </c>
      <c r="F874" s="48">
        <v>12000</v>
      </c>
      <c r="G874" s="9">
        <f t="shared" si="139"/>
        <v>144000</v>
      </c>
      <c r="H874" s="69">
        <f t="shared" si="140"/>
        <v>1800</v>
      </c>
      <c r="I874" s="69">
        <f t="shared" si="138"/>
        <v>2400</v>
      </c>
      <c r="J874" s="54">
        <f t="shared" si="141"/>
        <v>3.0566037735849059</v>
      </c>
      <c r="K874" s="73">
        <f t="shared" si="142"/>
        <v>36.679245283018872</v>
      </c>
      <c r="L874" s="54">
        <f>+J874*E874</f>
        <v>36.679245283018872</v>
      </c>
      <c r="M874" s="245" t="s">
        <v>30</v>
      </c>
    </row>
    <row r="875" spans="1:13">
      <c r="A875" s="94" t="s">
        <v>600</v>
      </c>
      <c r="B875" s="95" t="s">
        <v>601</v>
      </c>
      <c r="C875" s="26" t="s">
        <v>602</v>
      </c>
      <c r="D875" s="104" t="s">
        <v>326</v>
      </c>
      <c r="E875" s="331">
        <v>12</v>
      </c>
      <c r="F875" s="223">
        <v>12000</v>
      </c>
      <c r="G875" s="334">
        <f t="shared" si="139"/>
        <v>144000</v>
      </c>
      <c r="H875" s="238">
        <f t="shared" si="140"/>
        <v>1800</v>
      </c>
      <c r="I875" s="51">
        <f t="shared" si="138"/>
        <v>2400</v>
      </c>
      <c r="J875" s="52">
        <f t="shared" si="141"/>
        <v>3.0566037735849059</v>
      </c>
      <c r="K875" s="53">
        <f t="shared" si="142"/>
        <v>36.679245283018872</v>
      </c>
      <c r="L875" s="52">
        <f>J875*E875</f>
        <v>36.679245283018872</v>
      </c>
      <c r="M875" s="245" t="s">
        <v>93</v>
      </c>
    </row>
    <row r="876" spans="1:13">
      <c r="A876" s="94" t="s">
        <v>600</v>
      </c>
      <c r="B876" s="95" t="s">
        <v>601</v>
      </c>
      <c r="C876" s="26" t="s">
        <v>602</v>
      </c>
      <c r="D876" s="26" t="s">
        <v>326</v>
      </c>
      <c r="E876" s="226">
        <v>12</v>
      </c>
      <c r="F876" s="223">
        <v>12000</v>
      </c>
      <c r="G876" s="2">
        <f t="shared" si="139"/>
        <v>144000</v>
      </c>
      <c r="H876" s="238">
        <f t="shared" si="140"/>
        <v>1800</v>
      </c>
      <c r="I876" s="51">
        <f>+F876*0.15</f>
        <v>1800</v>
      </c>
      <c r="J876" s="52">
        <f t="shared" si="141"/>
        <v>2.9433962264150941</v>
      </c>
      <c r="K876" s="52">
        <f t="shared" si="142"/>
        <v>35.320754716981128</v>
      </c>
      <c r="L876" s="219"/>
      <c r="M876" s="245" t="s">
        <v>87</v>
      </c>
    </row>
    <row r="877" spans="1:13">
      <c r="A877" s="94" t="s">
        <v>600</v>
      </c>
      <c r="B877" s="95" t="s">
        <v>601</v>
      </c>
      <c r="C877" s="26" t="s">
        <v>602</v>
      </c>
      <c r="D877" s="26" t="s">
        <v>326</v>
      </c>
      <c r="E877" s="226">
        <v>12</v>
      </c>
      <c r="F877" s="223">
        <v>12000</v>
      </c>
      <c r="G877" s="2">
        <f t="shared" si="139"/>
        <v>144000</v>
      </c>
      <c r="H877" s="238">
        <f t="shared" si="140"/>
        <v>1800</v>
      </c>
      <c r="I877" s="51">
        <f>+F877*0.2</f>
        <v>2400</v>
      </c>
      <c r="J877" s="128">
        <f t="shared" si="141"/>
        <v>3.0566037735849059</v>
      </c>
      <c r="K877" s="53">
        <f t="shared" si="142"/>
        <v>36.679245283018872</v>
      </c>
      <c r="L877" s="52">
        <f>E877*J877</f>
        <v>36.679245283018872</v>
      </c>
      <c r="M877" s="245" t="s">
        <v>15</v>
      </c>
    </row>
    <row r="878" spans="1:13">
      <c r="A878" s="218" t="s">
        <v>600</v>
      </c>
      <c r="B878" s="95" t="s">
        <v>601</v>
      </c>
      <c r="C878" s="26" t="s">
        <v>602</v>
      </c>
      <c r="D878" s="25" t="s">
        <v>326</v>
      </c>
      <c r="E878" s="49">
        <v>12</v>
      </c>
      <c r="F878" s="48">
        <v>12000</v>
      </c>
      <c r="G878" s="9">
        <f t="shared" si="139"/>
        <v>144000</v>
      </c>
      <c r="H878" s="51">
        <f t="shared" si="140"/>
        <v>1800</v>
      </c>
      <c r="I878" s="51">
        <f>+F878*0.15</f>
        <v>1800</v>
      </c>
      <c r="J878" s="128">
        <f t="shared" si="141"/>
        <v>2.9433962264150941</v>
      </c>
      <c r="K878" s="53">
        <f t="shared" si="142"/>
        <v>35.320754716981128</v>
      </c>
      <c r="L878" s="52">
        <f>J878*E878</f>
        <v>35.320754716981128</v>
      </c>
      <c r="M878" s="245" t="s">
        <v>17</v>
      </c>
    </row>
    <row r="879" spans="1:13">
      <c r="A879" s="218" t="s">
        <v>600</v>
      </c>
      <c r="B879" s="95" t="s">
        <v>601</v>
      </c>
      <c r="C879" s="26" t="s">
        <v>602</v>
      </c>
      <c r="D879" s="25" t="s">
        <v>326</v>
      </c>
      <c r="E879" s="49">
        <v>24</v>
      </c>
      <c r="F879" s="48">
        <v>12000</v>
      </c>
      <c r="G879" s="9">
        <f t="shared" si="139"/>
        <v>288000</v>
      </c>
      <c r="H879" s="51">
        <f t="shared" si="140"/>
        <v>1800</v>
      </c>
      <c r="I879" s="51">
        <f t="shared" ref="I879:I884" si="143">+F879*0.2</f>
        <v>2400</v>
      </c>
      <c r="J879" s="128">
        <f t="shared" si="141"/>
        <v>3.0566037735849059</v>
      </c>
      <c r="K879" s="53">
        <f t="shared" si="142"/>
        <v>73.358490566037744</v>
      </c>
      <c r="L879" s="52">
        <f>J879*E879</f>
        <v>73.358490566037744</v>
      </c>
      <c r="M879" s="245" t="s">
        <v>17</v>
      </c>
    </row>
    <row r="880" spans="1:13">
      <c r="A880" s="94" t="s">
        <v>603</v>
      </c>
      <c r="B880" s="95" t="s">
        <v>604</v>
      </c>
      <c r="C880" s="207" t="s">
        <v>605</v>
      </c>
      <c r="D880" s="207" t="s">
        <v>326</v>
      </c>
      <c r="E880" s="227">
        <v>6</v>
      </c>
      <c r="F880" s="236">
        <v>16000</v>
      </c>
      <c r="G880" s="236">
        <f t="shared" si="139"/>
        <v>96000</v>
      </c>
      <c r="H880" s="239">
        <f t="shared" si="140"/>
        <v>2400</v>
      </c>
      <c r="I880" s="206">
        <f t="shared" si="143"/>
        <v>3200</v>
      </c>
      <c r="J880" s="84">
        <f t="shared" si="141"/>
        <v>4.0754716981132075</v>
      </c>
      <c r="K880" s="241">
        <f>J880*E880</f>
        <v>24.452830188679243</v>
      </c>
      <c r="L880" s="219"/>
      <c r="M880" s="245" t="s">
        <v>20</v>
      </c>
    </row>
    <row r="881" spans="1:13">
      <c r="A881" s="1" t="s">
        <v>603</v>
      </c>
      <c r="B881" s="95" t="s">
        <v>604</v>
      </c>
      <c r="C881" s="26" t="s">
        <v>605</v>
      </c>
      <c r="D881" s="26" t="s">
        <v>326</v>
      </c>
      <c r="E881" s="226">
        <v>6</v>
      </c>
      <c r="F881" s="223">
        <v>16000</v>
      </c>
      <c r="G881" s="2">
        <f t="shared" si="139"/>
        <v>96000</v>
      </c>
      <c r="H881" s="51">
        <f t="shared" si="140"/>
        <v>2400</v>
      </c>
      <c r="I881" s="51">
        <f t="shared" si="143"/>
        <v>3200</v>
      </c>
      <c r="J881" s="52">
        <f t="shared" si="141"/>
        <v>4.0754716981132075</v>
      </c>
      <c r="K881" s="52">
        <f t="shared" ref="K881:K892" si="144">+J881*E881</f>
        <v>24.452830188679243</v>
      </c>
      <c r="L881" s="219"/>
      <c r="M881" s="245" t="s">
        <v>89</v>
      </c>
    </row>
    <row r="882" spans="1:13">
      <c r="A882" s="94" t="s">
        <v>603</v>
      </c>
      <c r="B882" s="95" t="s">
        <v>604</v>
      </c>
      <c r="C882" s="26" t="s">
        <v>605</v>
      </c>
      <c r="D882" s="26" t="s">
        <v>326</v>
      </c>
      <c r="E882" s="226">
        <v>6</v>
      </c>
      <c r="F882" s="235">
        <v>16000</v>
      </c>
      <c r="G882" s="2">
        <f t="shared" si="139"/>
        <v>96000</v>
      </c>
      <c r="H882" s="51">
        <f t="shared" si="140"/>
        <v>2400</v>
      </c>
      <c r="I882" s="51">
        <f t="shared" si="143"/>
        <v>3200</v>
      </c>
      <c r="J882" s="241">
        <f t="shared" si="141"/>
        <v>4.0754716981132075</v>
      </c>
      <c r="K882" s="52">
        <f t="shared" si="144"/>
        <v>24.452830188679243</v>
      </c>
      <c r="L882" s="219"/>
      <c r="M882" s="245" t="s">
        <v>23</v>
      </c>
    </row>
    <row r="883" spans="1:13">
      <c r="A883" s="218" t="s">
        <v>603</v>
      </c>
      <c r="B883" s="95" t="s">
        <v>604</v>
      </c>
      <c r="C883" s="26" t="s">
        <v>605</v>
      </c>
      <c r="D883" s="25" t="s">
        <v>326</v>
      </c>
      <c r="E883" s="49">
        <v>6</v>
      </c>
      <c r="F883" s="48">
        <v>16000</v>
      </c>
      <c r="G883" s="9">
        <f t="shared" si="139"/>
        <v>96000</v>
      </c>
      <c r="H883" s="69">
        <f t="shared" si="140"/>
        <v>2400</v>
      </c>
      <c r="I883" s="69">
        <f t="shared" si="143"/>
        <v>3200</v>
      </c>
      <c r="J883" s="54">
        <f t="shared" si="141"/>
        <v>4.0754716981132075</v>
      </c>
      <c r="K883" s="73">
        <f t="shared" si="144"/>
        <v>24.452830188679243</v>
      </c>
      <c r="L883" s="54">
        <f>+J883*E883</f>
        <v>24.452830188679243</v>
      </c>
      <c r="M883" s="245" t="s">
        <v>30</v>
      </c>
    </row>
    <row r="884" spans="1:13">
      <c r="A884" s="94" t="s">
        <v>603</v>
      </c>
      <c r="B884" s="95" t="s">
        <v>604</v>
      </c>
      <c r="C884" s="26" t="s">
        <v>605</v>
      </c>
      <c r="D884" s="104" t="s">
        <v>326</v>
      </c>
      <c r="E884" s="226">
        <v>6</v>
      </c>
      <c r="F884" s="223">
        <v>16000</v>
      </c>
      <c r="G884" s="2">
        <f t="shared" si="139"/>
        <v>96000</v>
      </c>
      <c r="H884" s="238">
        <f t="shared" si="140"/>
        <v>2400</v>
      </c>
      <c r="I884" s="51">
        <f t="shared" si="143"/>
        <v>3200</v>
      </c>
      <c r="J884" s="52">
        <f t="shared" si="141"/>
        <v>4.0754716981132075</v>
      </c>
      <c r="K884" s="53">
        <f t="shared" si="144"/>
        <v>24.452830188679243</v>
      </c>
      <c r="L884" s="52">
        <f>J884*E884</f>
        <v>24.452830188679243</v>
      </c>
      <c r="M884" s="245" t="s">
        <v>93</v>
      </c>
    </row>
    <row r="885" spans="1:13">
      <c r="A885" s="94" t="s">
        <v>603</v>
      </c>
      <c r="B885" s="95" t="s">
        <v>604</v>
      </c>
      <c r="C885" s="26" t="s">
        <v>605</v>
      </c>
      <c r="D885" s="26" t="s">
        <v>326</v>
      </c>
      <c r="E885" s="226">
        <v>6</v>
      </c>
      <c r="F885" s="223">
        <v>16000</v>
      </c>
      <c r="G885" s="2">
        <f t="shared" si="139"/>
        <v>96000</v>
      </c>
      <c r="H885" s="238">
        <f t="shared" si="140"/>
        <v>2400</v>
      </c>
      <c r="I885" s="51">
        <f>+F885*0.15</f>
        <v>2400</v>
      </c>
      <c r="J885" s="52">
        <f t="shared" si="141"/>
        <v>3.9245283018867925</v>
      </c>
      <c r="K885" s="52">
        <f t="shared" si="144"/>
        <v>23.547169811320757</v>
      </c>
      <c r="L885" s="219"/>
      <c r="M885" s="245" t="s">
        <v>87</v>
      </c>
    </row>
    <row r="886" spans="1:13">
      <c r="A886" s="94" t="s">
        <v>603</v>
      </c>
      <c r="B886" s="95" t="s">
        <v>604</v>
      </c>
      <c r="C886" s="26" t="s">
        <v>605</v>
      </c>
      <c r="D886" s="26" t="s">
        <v>326</v>
      </c>
      <c r="E886" s="226">
        <v>6</v>
      </c>
      <c r="F886" s="223">
        <v>16000</v>
      </c>
      <c r="G886" s="2">
        <f t="shared" si="139"/>
        <v>96000</v>
      </c>
      <c r="H886" s="238">
        <f t="shared" si="140"/>
        <v>2400</v>
      </c>
      <c r="I886" s="51">
        <f>+F886*0.2</f>
        <v>3200</v>
      </c>
      <c r="J886" s="128">
        <f t="shared" si="141"/>
        <v>4.0754716981132075</v>
      </c>
      <c r="K886" s="53">
        <f t="shared" si="144"/>
        <v>24.452830188679243</v>
      </c>
      <c r="L886" s="52">
        <f>E886*J886</f>
        <v>24.452830188679243</v>
      </c>
      <c r="M886" s="245" t="s">
        <v>15</v>
      </c>
    </row>
    <row r="887" spans="1:13">
      <c r="A887" s="218" t="s">
        <v>603</v>
      </c>
      <c r="B887" s="95" t="s">
        <v>604</v>
      </c>
      <c r="C887" s="26" t="s">
        <v>605</v>
      </c>
      <c r="D887" s="25" t="s">
        <v>326</v>
      </c>
      <c r="E887" s="49">
        <v>6</v>
      </c>
      <c r="F887" s="48">
        <v>16000</v>
      </c>
      <c r="G887" s="9">
        <f t="shared" si="139"/>
        <v>96000</v>
      </c>
      <c r="H887" s="51">
        <f t="shared" si="140"/>
        <v>2400</v>
      </c>
      <c r="I887" s="51">
        <f>+F887*0.15</f>
        <v>2400</v>
      </c>
      <c r="J887" s="128">
        <f t="shared" si="141"/>
        <v>3.9245283018867925</v>
      </c>
      <c r="K887" s="53">
        <f t="shared" si="144"/>
        <v>23.547169811320757</v>
      </c>
      <c r="L887" s="52">
        <f>J887*E887</f>
        <v>23.547169811320757</v>
      </c>
      <c r="M887" s="245" t="s">
        <v>17</v>
      </c>
    </row>
    <row r="888" spans="1:13">
      <c r="A888" s="218" t="s">
        <v>603</v>
      </c>
      <c r="B888" s="95" t="s">
        <v>604</v>
      </c>
      <c r="C888" s="26" t="s">
        <v>605</v>
      </c>
      <c r="D888" s="25" t="s">
        <v>326</v>
      </c>
      <c r="E888" s="49">
        <v>12</v>
      </c>
      <c r="F888" s="48">
        <v>16000</v>
      </c>
      <c r="G888" s="9">
        <f t="shared" si="139"/>
        <v>192000</v>
      </c>
      <c r="H888" s="51">
        <f t="shared" si="140"/>
        <v>2400</v>
      </c>
      <c r="I888" s="51">
        <f>+F888*0.2</f>
        <v>3200</v>
      </c>
      <c r="J888" s="128">
        <f t="shared" si="141"/>
        <v>4.0754716981132075</v>
      </c>
      <c r="K888" s="53">
        <f t="shared" si="144"/>
        <v>48.905660377358487</v>
      </c>
      <c r="L888" s="52">
        <f>J888*E888</f>
        <v>48.905660377358487</v>
      </c>
      <c r="M888" s="245" t="s">
        <v>17</v>
      </c>
    </row>
    <row r="889" spans="1:13">
      <c r="A889" s="94" t="s">
        <v>606</v>
      </c>
      <c r="B889" s="95" t="s">
        <v>607</v>
      </c>
      <c r="C889" s="207" t="s">
        <v>608</v>
      </c>
      <c r="D889" s="207" t="s">
        <v>326</v>
      </c>
      <c r="E889" s="227">
        <v>4</v>
      </c>
      <c r="F889" s="236">
        <v>15000</v>
      </c>
      <c r="G889" s="236">
        <f t="shared" si="139"/>
        <v>60000</v>
      </c>
      <c r="H889" s="239">
        <f t="shared" si="140"/>
        <v>2250</v>
      </c>
      <c r="I889" s="206">
        <f>+F889*0.2</f>
        <v>3000</v>
      </c>
      <c r="J889" s="84">
        <f t="shared" si="141"/>
        <v>3.8207547169811322</v>
      </c>
      <c r="K889" s="241">
        <f t="shared" si="144"/>
        <v>15.283018867924529</v>
      </c>
      <c r="L889" s="219"/>
      <c r="M889" s="245" t="s">
        <v>20</v>
      </c>
    </row>
    <row r="890" spans="1:13">
      <c r="A890" s="1" t="s">
        <v>606</v>
      </c>
      <c r="B890" s="95" t="s">
        <v>607</v>
      </c>
      <c r="C890" s="26" t="s">
        <v>608</v>
      </c>
      <c r="D890" s="26" t="s">
        <v>326</v>
      </c>
      <c r="E890" s="226">
        <v>4</v>
      </c>
      <c r="F890" s="223">
        <v>15000</v>
      </c>
      <c r="G890" s="2">
        <f t="shared" si="139"/>
        <v>60000</v>
      </c>
      <c r="H890" s="51">
        <f t="shared" si="140"/>
        <v>2250</v>
      </c>
      <c r="I890" s="51">
        <f>+F890*0.2</f>
        <v>3000</v>
      </c>
      <c r="J890" s="52">
        <f t="shared" si="141"/>
        <v>3.8207547169811322</v>
      </c>
      <c r="K890" s="52">
        <f t="shared" si="144"/>
        <v>15.283018867924529</v>
      </c>
      <c r="L890" s="219"/>
      <c r="M890" s="245" t="s">
        <v>89</v>
      </c>
    </row>
    <row r="891" spans="1:13">
      <c r="A891" s="94" t="s">
        <v>606</v>
      </c>
      <c r="B891" s="95" t="s">
        <v>607</v>
      </c>
      <c r="C891" s="26" t="s">
        <v>608</v>
      </c>
      <c r="D891" s="26" t="s">
        <v>326</v>
      </c>
      <c r="E891" s="226">
        <v>4</v>
      </c>
      <c r="F891" s="223">
        <v>15000</v>
      </c>
      <c r="G891" s="2">
        <f t="shared" si="139"/>
        <v>60000</v>
      </c>
      <c r="H891" s="238">
        <f t="shared" si="140"/>
        <v>2250</v>
      </c>
      <c r="I891" s="51">
        <f>+F891*0.15</f>
        <v>2250</v>
      </c>
      <c r="J891" s="240">
        <f t="shared" si="141"/>
        <v>3.6792452830188678</v>
      </c>
      <c r="K891" s="51">
        <f t="shared" si="144"/>
        <v>14.716981132075471</v>
      </c>
      <c r="L891" s="240">
        <f>+E891*J891</f>
        <v>14.716981132075471</v>
      </c>
      <c r="M891" s="245" t="s">
        <v>117</v>
      </c>
    </row>
    <row r="892" spans="1:13">
      <c r="A892" s="1" t="s">
        <v>606</v>
      </c>
      <c r="B892" s="95" t="s">
        <v>607</v>
      </c>
      <c r="C892" s="26" t="s">
        <v>608</v>
      </c>
      <c r="D892" s="26" t="s">
        <v>326</v>
      </c>
      <c r="E892" s="223">
        <v>4</v>
      </c>
      <c r="F892" s="223">
        <v>15000</v>
      </c>
      <c r="G892" s="2">
        <f t="shared" si="139"/>
        <v>60000</v>
      </c>
      <c r="H892" s="238">
        <f t="shared" si="140"/>
        <v>2250</v>
      </c>
      <c r="I892" s="51">
        <f t="shared" ref="I892:I903" si="145">+F892*0.2</f>
        <v>3000</v>
      </c>
      <c r="J892" s="52">
        <f t="shared" si="141"/>
        <v>3.8207547169811322</v>
      </c>
      <c r="K892" s="53">
        <f t="shared" si="144"/>
        <v>15.283018867924529</v>
      </c>
      <c r="L892" s="52">
        <f>J892*E892</f>
        <v>15.283018867924529</v>
      </c>
      <c r="M892" s="245" t="s">
        <v>118</v>
      </c>
    </row>
    <row r="893" spans="1:13">
      <c r="A893" s="94" t="s">
        <v>606</v>
      </c>
      <c r="B893" s="95" t="s">
        <v>607</v>
      </c>
      <c r="C893" s="26" t="s">
        <v>608</v>
      </c>
      <c r="D893" s="26" t="s">
        <v>326</v>
      </c>
      <c r="E893" s="226">
        <v>4</v>
      </c>
      <c r="F893" s="235">
        <v>15000</v>
      </c>
      <c r="G893" s="2">
        <f t="shared" si="139"/>
        <v>60000</v>
      </c>
      <c r="H893" s="51">
        <f t="shared" si="140"/>
        <v>2250</v>
      </c>
      <c r="I893" s="51">
        <f t="shared" si="145"/>
        <v>3000</v>
      </c>
      <c r="J893" s="84">
        <f t="shared" si="141"/>
        <v>3.8207547169811322</v>
      </c>
      <c r="K893" s="52">
        <f>J893*E893</f>
        <v>15.283018867924529</v>
      </c>
      <c r="L893" s="219"/>
      <c r="M893" s="245" t="s">
        <v>23</v>
      </c>
    </row>
    <row r="894" spans="1:13">
      <c r="A894" s="218" t="s">
        <v>606</v>
      </c>
      <c r="B894" s="95" t="s">
        <v>607</v>
      </c>
      <c r="C894" s="26" t="s">
        <v>608</v>
      </c>
      <c r="D894" s="25" t="s">
        <v>326</v>
      </c>
      <c r="E894" s="49">
        <v>4</v>
      </c>
      <c r="F894" s="48">
        <v>15000</v>
      </c>
      <c r="G894" s="9">
        <f t="shared" si="139"/>
        <v>60000</v>
      </c>
      <c r="H894" s="51">
        <f t="shared" si="140"/>
        <v>2250</v>
      </c>
      <c r="I894" s="51">
        <f t="shared" si="145"/>
        <v>3000</v>
      </c>
      <c r="J894" s="52">
        <f t="shared" si="141"/>
        <v>3.8207547169811322</v>
      </c>
      <c r="K894" s="53">
        <f>+J894*E894</f>
        <v>15.283018867924529</v>
      </c>
      <c r="L894" s="54">
        <f>+J894*E894</f>
        <v>15.283018867924529</v>
      </c>
      <c r="M894" s="245" t="s">
        <v>30</v>
      </c>
    </row>
    <row r="895" spans="1:13">
      <c r="A895" s="94" t="s">
        <v>606</v>
      </c>
      <c r="B895" s="95" t="s">
        <v>607</v>
      </c>
      <c r="C895" s="26" t="s">
        <v>608</v>
      </c>
      <c r="D895" s="104" t="s">
        <v>326</v>
      </c>
      <c r="E895" s="226">
        <v>4</v>
      </c>
      <c r="F895" s="223">
        <v>15000</v>
      </c>
      <c r="G895" s="2">
        <f t="shared" si="139"/>
        <v>60000</v>
      </c>
      <c r="H895" s="238">
        <f t="shared" si="140"/>
        <v>2250</v>
      </c>
      <c r="I895" s="51">
        <f t="shared" si="145"/>
        <v>3000</v>
      </c>
      <c r="J895" s="52">
        <f>+(H895+I895+F895)/5300</f>
        <v>3.8207547169811322</v>
      </c>
      <c r="K895" s="53">
        <f>+J895*E895</f>
        <v>15.283018867924529</v>
      </c>
      <c r="L895" s="52">
        <f>E895*J895</f>
        <v>15.283018867924529</v>
      </c>
      <c r="M895" s="245" t="s">
        <v>93</v>
      </c>
    </row>
    <row r="896" spans="1:13">
      <c r="A896" s="94" t="s">
        <v>606</v>
      </c>
      <c r="B896" s="95" t="s">
        <v>607</v>
      </c>
      <c r="C896" s="26" t="s">
        <v>608</v>
      </c>
      <c r="D896" s="26" t="s">
        <v>326</v>
      </c>
      <c r="E896" s="226">
        <v>4</v>
      </c>
      <c r="F896" s="223">
        <v>15000</v>
      </c>
      <c r="G896" s="2">
        <f t="shared" si="139"/>
        <v>60000</v>
      </c>
      <c r="H896" s="238">
        <f t="shared" si="140"/>
        <v>2250</v>
      </c>
      <c r="I896" s="51">
        <f t="shared" si="145"/>
        <v>3000</v>
      </c>
      <c r="J896" s="52">
        <f>+(F896+H896+I896)/5300</f>
        <v>3.8207547169811322</v>
      </c>
      <c r="K896" s="52">
        <f>+J896*E896</f>
        <v>15.283018867924529</v>
      </c>
      <c r="L896" s="219"/>
      <c r="M896" s="245" t="s">
        <v>87</v>
      </c>
    </row>
    <row r="897" spans="1:13">
      <c r="A897" s="94" t="s">
        <v>606</v>
      </c>
      <c r="B897" s="95" t="s">
        <v>607</v>
      </c>
      <c r="C897" s="26" t="s">
        <v>608</v>
      </c>
      <c r="D897" s="26" t="s">
        <v>326</v>
      </c>
      <c r="E897" s="226">
        <v>4</v>
      </c>
      <c r="F897" s="223">
        <v>15000</v>
      </c>
      <c r="G897" s="2">
        <f t="shared" si="139"/>
        <v>60000</v>
      </c>
      <c r="H897" s="238">
        <f t="shared" si="140"/>
        <v>2250</v>
      </c>
      <c r="I897" s="51">
        <f t="shared" si="145"/>
        <v>3000</v>
      </c>
      <c r="J897" s="128">
        <f>+(F897+H897+I897)/5300</f>
        <v>3.8207547169811322</v>
      </c>
      <c r="K897" s="53">
        <f>+J897*E897</f>
        <v>15.283018867924529</v>
      </c>
      <c r="L897" s="52">
        <f>E897*J897</f>
        <v>15.283018867924529</v>
      </c>
      <c r="M897" s="245" t="s">
        <v>15</v>
      </c>
    </row>
    <row r="898" spans="1:13">
      <c r="A898" s="302">
        <v>3001</v>
      </c>
      <c r="B898" s="27" t="s">
        <v>609</v>
      </c>
      <c r="C898" s="26" t="s">
        <v>610</v>
      </c>
      <c r="D898" s="55" t="s">
        <v>3</v>
      </c>
      <c r="E898" s="49">
        <v>2</v>
      </c>
      <c r="F898" s="48">
        <v>6000000</v>
      </c>
      <c r="G898" s="9">
        <f t="shared" si="139"/>
        <v>12000000</v>
      </c>
      <c r="H898" s="51">
        <f t="shared" si="140"/>
        <v>900000</v>
      </c>
      <c r="I898" s="51">
        <f t="shared" si="145"/>
        <v>1200000</v>
      </c>
      <c r="J898" s="128">
        <f>+(F898+H898+I898)/5300</f>
        <v>1528.3018867924529</v>
      </c>
      <c r="K898" s="53">
        <f>+J898*E898</f>
        <v>3056.6037735849059</v>
      </c>
      <c r="L898" s="52">
        <f>J898*E898</f>
        <v>3056.6037735849059</v>
      </c>
      <c r="M898" s="245" t="s">
        <v>17</v>
      </c>
    </row>
    <row r="899" spans="1:13">
      <c r="A899" s="299">
        <v>3001</v>
      </c>
      <c r="B899" s="27" t="s">
        <v>609</v>
      </c>
      <c r="C899" s="26" t="s">
        <v>611</v>
      </c>
      <c r="D899" s="26" t="s">
        <v>3</v>
      </c>
      <c r="E899" s="226">
        <v>1</v>
      </c>
      <c r="F899" s="269">
        <v>5000000</v>
      </c>
      <c r="G899" s="2">
        <f t="shared" si="139"/>
        <v>5000000</v>
      </c>
      <c r="H899" s="51">
        <f t="shared" si="140"/>
        <v>750000</v>
      </c>
      <c r="I899" s="51">
        <f t="shared" si="145"/>
        <v>1000000</v>
      </c>
      <c r="J899" s="84">
        <f>+(I899+H899+F899)/5300</f>
        <v>1273.5849056603774</v>
      </c>
      <c r="K899" s="84">
        <f>J899*E899</f>
        <v>1273.5849056603774</v>
      </c>
      <c r="L899" s="219"/>
      <c r="M899" s="245" t="s">
        <v>23</v>
      </c>
    </row>
    <row r="900" spans="1:13">
      <c r="A900" s="151">
        <v>4</v>
      </c>
      <c r="B900" s="5" t="s">
        <v>612</v>
      </c>
      <c r="C900" s="6" t="s">
        <v>613</v>
      </c>
      <c r="D900" s="48"/>
      <c r="E900" s="49"/>
      <c r="F900" s="48"/>
      <c r="G900" s="9">
        <f t="shared" si="139"/>
        <v>0</v>
      </c>
      <c r="H900" s="51"/>
      <c r="I900" s="51">
        <f t="shared" si="145"/>
        <v>0</v>
      </c>
      <c r="J900" s="128"/>
      <c r="K900" s="53"/>
      <c r="L900" s="52"/>
      <c r="M900" s="245" t="s">
        <v>17</v>
      </c>
    </row>
    <row r="901" spans="1:13">
      <c r="A901" s="218" t="s">
        <v>614</v>
      </c>
      <c r="B901" s="27" t="s">
        <v>615</v>
      </c>
      <c r="C901" s="26" t="s">
        <v>616</v>
      </c>
      <c r="D901" s="55" t="s">
        <v>123</v>
      </c>
      <c r="E901" s="49">
        <v>1</v>
      </c>
      <c r="F901" s="48">
        <v>3000000</v>
      </c>
      <c r="G901" s="9">
        <f t="shared" si="139"/>
        <v>3000000</v>
      </c>
      <c r="H901" s="51">
        <f>+F901*0.15</f>
        <v>450000</v>
      </c>
      <c r="I901" s="51">
        <f t="shared" si="145"/>
        <v>600000</v>
      </c>
      <c r="J901" s="128">
        <f>+(I901+H901+F901)/5300</f>
        <v>764.15094339622647</v>
      </c>
      <c r="K901" s="53">
        <f>+J901*E901</f>
        <v>764.15094339622647</v>
      </c>
      <c r="L901" s="52">
        <f>J901*E901</f>
        <v>764.15094339622647</v>
      </c>
      <c r="M901" s="245" t="s">
        <v>17</v>
      </c>
    </row>
    <row r="902" spans="1:13">
      <c r="A902" s="218" t="s">
        <v>617</v>
      </c>
      <c r="B902" s="27" t="s">
        <v>618</v>
      </c>
      <c r="C902" s="26" t="s">
        <v>619</v>
      </c>
      <c r="D902" s="55" t="s">
        <v>123</v>
      </c>
      <c r="E902" s="49">
        <v>1</v>
      </c>
      <c r="F902" s="48">
        <v>5000000</v>
      </c>
      <c r="G902" s="9">
        <f t="shared" si="139"/>
        <v>5000000</v>
      </c>
      <c r="H902" s="51">
        <f>+F902*0.15</f>
        <v>750000</v>
      </c>
      <c r="I902" s="51">
        <f t="shared" si="145"/>
        <v>1000000</v>
      </c>
      <c r="J902" s="128">
        <f>+(I902+H902+F902)/5300</f>
        <v>1273.5849056603774</v>
      </c>
      <c r="K902" s="53">
        <f>+J902*E902</f>
        <v>1273.5849056603774</v>
      </c>
      <c r="L902" s="52">
        <f>J902*E902</f>
        <v>1273.5849056603774</v>
      </c>
      <c r="M902" s="245" t="s">
        <v>17</v>
      </c>
    </row>
    <row r="903" spans="1:13">
      <c r="A903" s="218" t="s">
        <v>620</v>
      </c>
      <c r="B903" s="27" t="s">
        <v>621</v>
      </c>
      <c r="C903" s="26" t="s">
        <v>622</v>
      </c>
      <c r="D903" s="25" t="s">
        <v>3</v>
      </c>
      <c r="E903" s="49">
        <v>2</v>
      </c>
      <c r="F903" s="48">
        <v>250000</v>
      </c>
      <c r="G903" s="9">
        <f t="shared" si="139"/>
        <v>500000</v>
      </c>
      <c r="H903" s="51">
        <f>+F903*0.15</f>
        <v>37500</v>
      </c>
      <c r="I903" s="51">
        <f t="shared" si="145"/>
        <v>50000</v>
      </c>
      <c r="J903" s="128">
        <f>+(I903+H903+F903)/5300</f>
        <v>63.679245283018865</v>
      </c>
      <c r="K903" s="53">
        <f>+J903*E903</f>
        <v>127.35849056603773</v>
      </c>
      <c r="L903" s="52">
        <f>J903*E903</f>
        <v>127.35849056603773</v>
      </c>
      <c r="M903" s="245" t="s">
        <v>17</v>
      </c>
    </row>
    <row r="904" spans="1:13">
      <c r="A904" s="317" t="s">
        <v>623</v>
      </c>
      <c r="B904" s="101" t="s">
        <v>623</v>
      </c>
      <c r="C904" s="117" t="s">
        <v>624</v>
      </c>
      <c r="D904" s="27"/>
      <c r="E904" s="36"/>
      <c r="F904" s="107"/>
      <c r="G904" s="103"/>
      <c r="H904" s="32"/>
      <c r="I904" s="32"/>
      <c r="J904" s="128"/>
      <c r="K904" s="53"/>
      <c r="L904" s="129"/>
      <c r="M904" s="245" t="s">
        <v>17</v>
      </c>
    </row>
    <row r="905" spans="1:13">
      <c r="A905" s="317" t="s">
        <v>623</v>
      </c>
      <c r="B905" s="101" t="s">
        <v>623</v>
      </c>
      <c r="C905" s="117" t="s">
        <v>624</v>
      </c>
      <c r="D905" s="27"/>
      <c r="E905" s="36"/>
      <c r="F905" s="25"/>
      <c r="G905" s="123"/>
      <c r="H905" s="32"/>
      <c r="I905" s="32"/>
      <c r="J905" s="128"/>
      <c r="K905" s="53"/>
      <c r="L905" s="52"/>
      <c r="M905" s="245" t="s">
        <v>17</v>
      </c>
    </row>
    <row r="906" spans="1:13">
      <c r="A906" s="317" t="s">
        <v>623</v>
      </c>
      <c r="B906" s="101" t="s">
        <v>623</v>
      </c>
      <c r="C906" s="117" t="s">
        <v>624</v>
      </c>
      <c r="D906" s="27"/>
      <c r="E906" s="36"/>
      <c r="F906" s="25"/>
      <c r="G906" s="123"/>
      <c r="H906" s="32"/>
      <c r="I906" s="32"/>
      <c r="J906" s="41"/>
      <c r="K906" s="53"/>
      <c r="L906" s="52"/>
      <c r="M906" s="245" t="s">
        <v>17</v>
      </c>
    </row>
    <row r="907" spans="1:13">
      <c r="A907" s="318" t="s">
        <v>625</v>
      </c>
      <c r="B907" s="36" t="s">
        <v>626</v>
      </c>
      <c r="C907" s="122" t="s">
        <v>627</v>
      </c>
      <c r="D907" s="27" t="s">
        <v>67</v>
      </c>
      <c r="E907" s="36">
        <v>29.5</v>
      </c>
      <c r="F907" s="105"/>
      <c r="G907" s="106"/>
      <c r="H907" s="27"/>
      <c r="I907" s="27"/>
      <c r="J907" s="41">
        <v>7.64</v>
      </c>
      <c r="K907" s="76"/>
      <c r="L907" s="141">
        <f>J907*E907</f>
        <v>225.38</v>
      </c>
      <c r="M907" s="245" t="s">
        <v>17</v>
      </c>
    </row>
    <row r="908" spans="1:13">
      <c r="A908" s="318" t="s">
        <v>625</v>
      </c>
      <c r="B908" s="36" t="s">
        <v>628</v>
      </c>
      <c r="C908" s="122" t="s">
        <v>629</v>
      </c>
      <c r="D908" s="27" t="s">
        <v>67</v>
      </c>
      <c r="E908" s="36">
        <v>50.4</v>
      </c>
      <c r="F908" s="32"/>
      <c r="G908" s="32"/>
      <c r="H908" s="32"/>
      <c r="I908" s="32"/>
      <c r="J908" s="128">
        <v>5</v>
      </c>
      <c r="K908" s="53">
        <f>+J908*E908</f>
        <v>252</v>
      </c>
      <c r="L908" s="52">
        <f>J908*E908</f>
        <v>252</v>
      </c>
      <c r="M908" s="245" t="s">
        <v>17</v>
      </c>
    </row>
    <row r="909" spans="1:13">
      <c r="A909" s="318" t="s">
        <v>625</v>
      </c>
      <c r="B909" s="36" t="s">
        <v>628</v>
      </c>
      <c r="C909" s="122" t="s">
        <v>629</v>
      </c>
      <c r="D909" s="27" t="s">
        <v>67</v>
      </c>
      <c r="E909" s="36">
        <v>34.799999999999997</v>
      </c>
      <c r="F909" s="25"/>
      <c r="G909" s="123"/>
      <c r="H909" s="32"/>
      <c r="I909" s="32"/>
      <c r="J909" s="41">
        <f>+J881</f>
        <v>4.0754716981132075</v>
      </c>
      <c r="K909" s="53"/>
      <c r="L909" s="52">
        <f>J909*E909</f>
        <v>141.82641509433961</v>
      </c>
      <c r="M909" s="245" t="s">
        <v>17</v>
      </c>
    </row>
    <row r="910" spans="1:13" ht="15.6">
      <c r="A910" s="318" t="s">
        <v>630</v>
      </c>
      <c r="B910" s="36" t="s">
        <v>631</v>
      </c>
      <c r="C910" s="122" t="s">
        <v>632</v>
      </c>
      <c r="D910" s="27" t="s">
        <v>114</v>
      </c>
      <c r="E910" s="36">
        <f>44.05*1.2</f>
        <v>52.859999999999992</v>
      </c>
      <c r="F910" s="23"/>
      <c r="G910" s="24"/>
      <c r="H910" s="32"/>
      <c r="I910" s="32"/>
      <c r="J910" s="128">
        <v>3</v>
      </c>
      <c r="K910" s="53">
        <f>+J910*E910</f>
        <v>158.57999999999998</v>
      </c>
      <c r="L910" s="52">
        <f>J910*E910</f>
        <v>158.57999999999998</v>
      </c>
      <c r="M910" s="245" t="s">
        <v>17</v>
      </c>
    </row>
    <row r="911" spans="1:13" ht="15.6">
      <c r="A911" s="318" t="s">
        <v>630</v>
      </c>
      <c r="B911" s="36" t="s">
        <v>631</v>
      </c>
      <c r="C911" s="122" t="s">
        <v>632</v>
      </c>
      <c r="D911" s="27" t="s">
        <v>114</v>
      </c>
      <c r="E911" s="36">
        <v>45.62</v>
      </c>
      <c r="F911" s="25"/>
      <c r="G911" s="123"/>
      <c r="H911" s="32"/>
      <c r="I911" s="32"/>
      <c r="J911" s="41">
        <f>+J883</f>
        <v>4.0754716981132075</v>
      </c>
      <c r="K911" s="53"/>
      <c r="L911" s="52">
        <f>J911*E911</f>
        <v>185.92301886792453</v>
      </c>
      <c r="M911" s="245" t="s">
        <v>17</v>
      </c>
    </row>
    <row r="912" spans="1:13">
      <c r="A912" s="287" t="s">
        <v>633</v>
      </c>
      <c r="B912" s="78" t="s">
        <v>633</v>
      </c>
      <c r="C912" s="72" t="s">
        <v>634</v>
      </c>
      <c r="D912" s="27"/>
      <c r="E912" s="36"/>
      <c r="F912" s="107"/>
      <c r="G912" s="103"/>
      <c r="H912" s="32"/>
      <c r="I912" s="32"/>
      <c r="J912" s="128"/>
      <c r="K912" s="53"/>
      <c r="L912" s="52"/>
      <c r="M912" s="245" t="s">
        <v>17</v>
      </c>
    </row>
    <row r="913" spans="1:13">
      <c r="A913" s="359" t="s">
        <v>633</v>
      </c>
      <c r="B913" s="78" t="s">
        <v>633</v>
      </c>
      <c r="C913" s="72" t="s">
        <v>634</v>
      </c>
      <c r="D913" s="27"/>
      <c r="E913" s="36"/>
      <c r="F913" s="30"/>
      <c r="G913" s="31"/>
      <c r="H913" s="32"/>
      <c r="I913" s="32"/>
      <c r="J913" s="128"/>
      <c r="K913" s="53"/>
      <c r="L913" s="129"/>
      <c r="M913" s="245" t="s">
        <v>17</v>
      </c>
    </row>
    <row r="914" spans="1:13">
      <c r="A914" s="359" t="s">
        <v>633</v>
      </c>
      <c r="B914" s="78" t="s">
        <v>633</v>
      </c>
      <c r="C914" s="72" t="s">
        <v>634</v>
      </c>
      <c r="D914" s="27"/>
      <c r="E914" s="36"/>
      <c r="F914" s="30"/>
      <c r="G914" s="31"/>
      <c r="H914" s="32"/>
      <c r="I914" s="32"/>
      <c r="J914" s="41"/>
      <c r="K914" s="53"/>
      <c r="L914" s="71"/>
      <c r="M914" s="245" t="s">
        <v>17</v>
      </c>
    </row>
    <row r="915" spans="1:13">
      <c r="A915" s="151" t="s">
        <v>633</v>
      </c>
      <c r="B915" s="78" t="s">
        <v>633</v>
      </c>
      <c r="C915" s="30" t="s">
        <v>635</v>
      </c>
      <c r="D915" s="32"/>
      <c r="E915" s="27"/>
      <c r="F915" s="32"/>
      <c r="G915" s="33"/>
      <c r="H915" s="32"/>
      <c r="I915" s="32"/>
      <c r="J915" s="37"/>
      <c r="K915" s="27"/>
      <c r="L915" s="37"/>
      <c r="M915" s="245" t="s">
        <v>30</v>
      </c>
    </row>
    <row r="916" spans="1:13">
      <c r="A916" s="359" t="s">
        <v>636</v>
      </c>
      <c r="B916" s="247" t="s">
        <v>637</v>
      </c>
      <c r="C916" s="44" t="s">
        <v>638</v>
      </c>
      <c r="D916" s="5"/>
      <c r="E916" s="101"/>
      <c r="F916" s="30"/>
      <c r="G916" s="31"/>
      <c r="H916" s="30"/>
      <c r="I916" s="30"/>
      <c r="J916" s="351"/>
      <c r="K916" s="47"/>
      <c r="L916" s="61"/>
      <c r="M916" s="339" t="s">
        <v>17</v>
      </c>
    </row>
    <row r="917" spans="1:13">
      <c r="A917" s="359" t="s">
        <v>636</v>
      </c>
      <c r="B917" s="247" t="s">
        <v>637</v>
      </c>
      <c r="C917" s="44" t="s">
        <v>638</v>
      </c>
      <c r="D917" s="5"/>
      <c r="E917" s="101"/>
      <c r="F917" s="30"/>
      <c r="G917" s="31"/>
      <c r="H917" s="30"/>
      <c r="I917" s="30"/>
      <c r="J917" s="370"/>
      <c r="K917" s="47"/>
      <c r="L917" s="371"/>
      <c r="M917" s="339" t="s">
        <v>17</v>
      </c>
    </row>
    <row r="918" spans="1:13">
      <c r="A918" s="287" t="s">
        <v>636</v>
      </c>
      <c r="B918" s="247" t="s">
        <v>637</v>
      </c>
      <c r="C918" s="44" t="s">
        <v>639</v>
      </c>
      <c r="D918" s="5"/>
      <c r="E918" s="101"/>
      <c r="F918" s="372"/>
      <c r="G918" s="103"/>
      <c r="H918" s="30"/>
      <c r="I918" s="30"/>
      <c r="J918" s="145"/>
      <c r="K918" s="82"/>
      <c r="L918" s="83"/>
      <c r="M918" s="339" t="s">
        <v>17</v>
      </c>
    </row>
    <row r="919" spans="1:13">
      <c r="A919" s="151" t="s">
        <v>640</v>
      </c>
      <c r="B919" s="247" t="s">
        <v>637</v>
      </c>
      <c r="C919" s="30" t="s">
        <v>641</v>
      </c>
      <c r="D919" s="32"/>
      <c r="E919" s="27"/>
      <c r="F919" s="32"/>
      <c r="G919" s="33"/>
      <c r="H919" s="32"/>
      <c r="I919" s="32"/>
      <c r="J919" s="37"/>
      <c r="K919" s="27"/>
      <c r="L919" s="37"/>
      <c r="M919" s="245" t="s">
        <v>30</v>
      </c>
    </row>
    <row r="920" spans="1:13" ht="28.15">
      <c r="A920" s="312" t="s">
        <v>642</v>
      </c>
      <c r="B920" s="108" t="s">
        <v>643</v>
      </c>
      <c r="C920" s="29" t="s">
        <v>644</v>
      </c>
      <c r="D920" s="27" t="s">
        <v>114</v>
      </c>
      <c r="E920" s="36">
        <f>35*3.4-(1.5*1.7*3)</f>
        <v>111.35</v>
      </c>
      <c r="F920" s="105"/>
      <c r="G920" s="106"/>
      <c r="H920" s="27"/>
      <c r="I920" s="27"/>
      <c r="J920" s="90">
        <v>3</v>
      </c>
      <c r="K920" s="76"/>
      <c r="L920" s="141">
        <f>J920*E920</f>
        <v>334.04999999999995</v>
      </c>
      <c r="M920" s="245" t="s">
        <v>17</v>
      </c>
    </row>
    <row r="921" spans="1:13" ht="15.6">
      <c r="A921" s="312" t="s">
        <v>645</v>
      </c>
      <c r="B921" s="108" t="s">
        <v>646</v>
      </c>
      <c r="C921" s="26" t="s">
        <v>647</v>
      </c>
      <c r="D921" s="27" t="s">
        <v>386</v>
      </c>
      <c r="E921" s="36">
        <f>E915+E916*2</f>
        <v>0</v>
      </c>
      <c r="F921" s="105"/>
      <c r="G921" s="106"/>
      <c r="H921" s="27"/>
      <c r="I921" s="27"/>
      <c r="J921" s="90">
        <v>3</v>
      </c>
      <c r="K921" s="76">
        <f>+J921*E921</f>
        <v>0</v>
      </c>
      <c r="L921" s="141">
        <f>J921*E921</f>
        <v>0</v>
      </c>
      <c r="M921" s="245" t="s">
        <v>17</v>
      </c>
    </row>
    <row r="922" spans="1:13" ht="15.6">
      <c r="A922" s="218" t="s">
        <v>648</v>
      </c>
      <c r="B922" s="108" t="s">
        <v>646</v>
      </c>
      <c r="C922" s="32" t="s">
        <v>649</v>
      </c>
      <c r="D922" s="27" t="s">
        <v>114</v>
      </c>
      <c r="E922" s="27">
        <f>2.55*3.9</f>
        <v>9.9449999999999985</v>
      </c>
      <c r="F922" s="32"/>
      <c r="G922" s="33"/>
      <c r="H922" s="32"/>
      <c r="I922" s="32"/>
      <c r="J922" s="37">
        <v>2.2641509433962264</v>
      </c>
      <c r="K922" s="27"/>
      <c r="L922" s="37"/>
      <c r="M922" s="245" t="s">
        <v>30</v>
      </c>
    </row>
    <row r="923" spans="1:13">
      <c r="A923" s="312" t="s">
        <v>650</v>
      </c>
      <c r="B923" s="108" t="s">
        <v>651</v>
      </c>
      <c r="C923" s="32" t="s">
        <v>652</v>
      </c>
      <c r="D923" s="27" t="s">
        <v>67</v>
      </c>
      <c r="E923" s="36">
        <f>33.25</f>
        <v>33.25</v>
      </c>
      <c r="F923" s="105"/>
      <c r="G923" s="106"/>
      <c r="H923" s="27"/>
      <c r="I923" s="27"/>
      <c r="J923" s="90">
        <v>2</v>
      </c>
      <c r="K923" s="76"/>
      <c r="L923" s="141">
        <f>J923*E923</f>
        <v>66.5</v>
      </c>
      <c r="M923" s="245" t="s">
        <v>17</v>
      </c>
    </row>
    <row r="924" spans="1:13" ht="28.15">
      <c r="A924" s="358" t="s">
        <v>653</v>
      </c>
      <c r="B924" s="108" t="s">
        <v>654</v>
      </c>
      <c r="C924" s="29" t="s">
        <v>655</v>
      </c>
      <c r="D924" s="121" t="s">
        <v>261</v>
      </c>
      <c r="E924" s="36">
        <f>64.8*0.4</f>
        <v>25.92</v>
      </c>
      <c r="F924" s="105"/>
      <c r="G924" s="106"/>
      <c r="H924" s="32"/>
      <c r="I924" s="32"/>
      <c r="J924" s="128">
        <f>+J868</f>
        <v>0</v>
      </c>
      <c r="K924" s="53"/>
      <c r="L924" s="52">
        <f>J924*E924</f>
        <v>0</v>
      </c>
      <c r="M924" s="245" t="s">
        <v>17</v>
      </c>
    </row>
    <row r="925" spans="1:13" ht="28.15">
      <c r="A925" s="358" t="s">
        <v>653</v>
      </c>
      <c r="B925" s="108" t="s">
        <v>654</v>
      </c>
      <c r="C925" s="29" t="s">
        <v>655</v>
      </c>
      <c r="D925" s="121" t="s">
        <v>261</v>
      </c>
      <c r="E925" s="36">
        <f>28.3*0.4</f>
        <v>11.32</v>
      </c>
      <c r="F925" s="105"/>
      <c r="G925" s="106"/>
      <c r="H925" s="32"/>
      <c r="I925" s="32"/>
      <c r="J925" s="41" t="e">
        <f>+#REF!</f>
        <v>#REF!</v>
      </c>
      <c r="K925" s="53"/>
      <c r="L925" s="71" t="e">
        <f>J925*E925</f>
        <v>#REF!</v>
      </c>
      <c r="M925" s="245" t="s">
        <v>17</v>
      </c>
    </row>
    <row r="926" spans="1:13" ht="28.15">
      <c r="A926" s="218" t="s">
        <v>656</v>
      </c>
      <c r="B926" s="27" t="s">
        <v>657</v>
      </c>
      <c r="C926" s="29" t="s">
        <v>658</v>
      </c>
      <c r="D926" s="27" t="s">
        <v>114</v>
      </c>
      <c r="E926" s="27">
        <f>(2.55*3.4+2.9*2*3+4.25*2*3.4+5.95*3.4+6.45*6.25)*2</f>
        <v>231.02500000000001</v>
      </c>
      <c r="F926" s="32"/>
      <c r="G926" s="33"/>
      <c r="H926" s="32"/>
      <c r="I926" s="32"/>
      <c r="J926" s="37">
        <v>2.2641509433962264</v>
      </c>
      <c r="K926" s="27">
        <f>+J926*E926</f>
        <v>523.07547169811323</v>
      </c>
      <c r="L926" s="37">
        <f>+J926*E926</f>
        <v>523.07547169811323</v>
      </c>
      <c r="M926" s="245" t="s">
        <v>30</v>
      </c>
    </row>
    <row r="927" spans="1:13" ht="28.15">
      <c r="A927" s="218" t="s">
        <v>659</v>
      </c>
      <c r="B927" s="27" t="s">
        <v>660</v>
      </c>
      <c r="C927" s="29" t="s">
        <v>661</v>
      </c>
      <c r="D927" s="27" t="s">
        <v>114</v>
      </c>
      <c r="E927" s="27">
        <f>E920*2</f>
        <v>222.7</v>
      </c>
      <c r="F927" s="32"/>
      <c r="G927" s="33"/>
      <c r="H927" s="32"/>
      <c r="I927" s="32"/>
      <c r="J927" s="37">
        <f>80000/5300</f>
        <v>15.09433962264151</v>
      </c>
      <c r="K927" s="27">
        <f>+J927*E927</f>
        <v>3361.5094339622642</v>
      </c>
      <c r="L927" s="37">
        <f>+J927*E927</f>
        <v>3361.5094339622642</v>
      </c>
      <c r="M927" s="245" t="s">
        <v>30</v>
      </c>
    </row>
    <row r="928" spans="1:13">
      <c r="A928" s="287" t="s">
        <v>662</v>
      </c>
      <c r="B928" s="78" t="s">
        <v>663</v>
      </c>
      <c r="C928" s="44" t="s">
        <v>664</v>
      </c>
      <c r="D928" s="27"/>
      <c r="E928" s="36"/>
      <c r="F928" s="107"/>
      <c r="G928" s="106"/>
      <c r="H928" s="32"/>
      <c r="I928" s="32"/>
      <c r="J928" s="128"/>
      <c r="K928" s="53"/>
      <c r="L928" s="52"/>
      <c r="M928" s="245" t="s">
        <v>17</v>
      </c>
    </row>
    <row r="929" spans="1:13">
      <c r="A929" s="151" t="s">
        <v>665</v>
      </c>
      <c r="B929" s="78" t="s">
        <v>663</v>
      </c>
      <c r="C929" s="30" t="s">
        <v>666</v>
      </c>
      <c r="D929" s="32"/>
      <c r="E929" s="27"/>
      <c r="F929" s="32"/>
      <c r="G929" s="33"/>
      <c r="H929" s="32"/>
      <c r="I929" s="32"/>
      <c r="J929" s="37"/>
      <c r="K929" s="27"/>
      <c r="L929" s="37"/>
      <c r="M929" s="245" t="s">
        <v>30</v>
      </c>
    </row>
    <row r="930" spans="1:13" ht="15.6">
      <c r="A930" s="312" t="s">
        <v>667</v>
      </c>
      <c r="B930" s="108" t="s">
        <v>668</v>
      </c>
      <c r="C930" s="32" t="s">
        <v>669</v>
      </c>
      <c r="D930" s="27" t="s">
        <v>386</v>
      </c>
      <c r="E930" s="36">
        <f>90.29*1.1</f>
        <v>99.319000000000017</v>
      </c>
      <c r="F930" s="105"/>
      <c r="G930" s="106"/>
      <c r="H930" s="32"/>
      <c r="I930" s="32"/>
      <c r="J930" s="128">
        <v>6</v>
      </c>
      <c r="K930" s="53"/>
      <c r="L930" s="52">
        <f>J930*E930</f>
        <v>595.9140000000001</v>
      </c>
      <c r="M930" s="245" t="s">
        <v>17</v>
      </c>
    </row>
    <row r="931" spans="1:13" ht="16.149999999999999">
      <c r="A931" s="312" t="s">
        <v>670</v>
      </c>
      <c r="B931" s="108" t="s">
        <v>671</v>
      </c>
      <c r="C931" s="29" t="s">
        <v>672</v>
      </c>
      <c r="D931" s="32" t="s">
        <v>386</v>
      </c>
      <c r="E931" s="132">
        <v>13.14</v>
      </c>
      <c r="F931" s="136"/>
      <c r="G931" s="137"/>
      <c r="H931" s="32"/>
      <c r="I931" s="32"/>
      <c r="J931" s="86">
        <v>5</v>
      </c>
      <c r="K931" s="73">
        <f>+J931*E931</f>
        <v>65.7</v>
      </c>
      <c r="L931" s="54">
        <f>J931*E931</f>
        <v>65.7</v>
      </c>
      <c r="M931" s="245" t="s">
        <v>17</v>
      </c>
    </row>
    <row r="932" spans="1:13" ht="15.6">
      <c r="A932" s="218" t="s">
        <v>673</v>
      </c>
      <c r="B932" s="27" t="s">
        <v>674</v>
      </c>
      <c r="C932" s="32" t="s">
        <v>675</v>
      </c>
      <c r="D932" s="27" t="s">
        <v>114</v>
      </c>
      <c r="E932" s="27">
        <f>2.95*2.6</f>
        <v>7.6700000000000008</v>
      </c>
      <c r="F932" s="32"/>
      <c r="G932" s="33"/>
      <c r="H932" s="32"/>
      <c r="I932" s="32"/>
      <c r="J932" s="37">
        <v>2.2641509433962264</v>
      </c>
      <c r="K932" s="27">
        <f>+J932*E932</f>
        <v>17.366037735849059</v>
      </c>
      <c r="L932" s="37">
        <f>+J932*E932</f>
        <v>17.366037735849059</v>
      </c>
      <c r="M932" s="245" t="s">
        <v>30</v>
      </c>
    </row>
    <row r="933" spans="1:13">
      <c r="A933" s="218" t="s">
        <v>676</v>
      </c>
      <c r="B933" s="27" t="s">
        <v>677</v>
      </c>
      <c r="C933" s="32" t="s">
        <v>678</v>
      </c>
      <c r="D933" s="27" t="s">
        <v>123</v>
      </c>
      <c r="E933" s="27">
        <v>1</v>
      </c>
      <c r="F933" s="32"/>
      <c r="G933" s="33"/>
      <c r="H933" s="32"/>
      <c r="I933" s="32"/>
      <c r="J933" s="37">
        <f>500000/5300</f>
        <v>94.339622641509436</v>
      </c>
      <c r="K933" s="27"/>
      <c r="L933" s="37"/>
      <c r="M933" s="245" t="s">
        <v>30</v>
      </c>
    </row>
    <row r="934" spans="1:13" ht="15.6">
      <c r="A934" s="218" t="s">
        <v>679</v>
      </c>
      <c r="B934" s="27" t="s">
        <v>680</v>
      </c>
      <c r="C934" s="32" t="s">
        <v>681</v>
      </c>
      <c r="D934" s="27" t="s">
        <v>114</v>
      </c>
      <c r="E934" s="27">
        <f>((2.4*2+3)-(1*4))*0.6+(19.2*0.1)</f>
        <v>4.1999999999999993</v>
      </c>
      <c r="F934" s="32"/>
      <c r="G934" s="33"/>
      <c r="H934" s="32"/>
      <c r="I934" s="32"/>
      <c r="J934" s="37">
        <f>+J930</f>
        <v>6</v>
      </c>
      <c r="K934" s="27">
        <f>+J934*E934</f>
        <v>25.199999999999996</v>
      </c>
      <c r="L934" s="37">
        <f>+J934*E934</f>
        <v>25.199999999999996</v>
      </c>
      <c r="M934" s="245" t="s">
        <v>30</v>
      </c>
    </row>
    <row r="935" spans="1:13">
      <c r="A935" s="280">
        <v>4</v>
      </c>
      <c r="B935" s="13" t="s">
        <v>682</v>
      </c>
      <c r="C935" s="146" t="s">
        <v>683</v>
      </c>
      <c r="D935" s="222"/>
      <c r="E935" s="227"/>
      <c r="F935" s="222"/>
      <c r="G935" s="236"/>
      <c r="H935" s="239"/>
      <c r="I935" s="206">
        <f>+F935*0.2</f>
        <v>0</v>
      </c>
      <c r="J935" s="84"/>
      <c r="K935" s="241"/>
      <c r="L935" s="219"/>
      <c r="M935" s="245" t="s">
        <v>20</v>
      </c>
    </row>
    <row r="936" spans="1:13">
      <c r="A936" s="281">
        <v>4</v>
      </c>
      <c r="B936" s="13" t="s">
        <v>682</v>
      </c>
      <c r="C936" s="6" t="s">
        <v>683</v>
      </c>
      <c r="D936" s="223"/>
      <c r="E936" s="226"/>
      <c r="F936" s="223"/>
      <c r="G936" s="2"/>
      <c r="H936" s="51">
        <f>+F936*0.15</f>
        <v>0</v>
      </c>
      <c r="I936" s="51">
        <f>+F936*0.2</f>
        <v>0</v>
      </c>
      <c r="J936" s="52"/>
      <c r="K936" s="52"/>
      <c r="L936" s="219"/>
      <c r="M936" s="245" t="s">
        <v>89</v>
      </c>
    </row>
    <row r="937" spans="1:13">
      <c r="A937" s="280">
        <v>4</v>
      </c>
      <c r="B937" s="13" t="s">
        <v>682</v>
      </c>
      <c r="C937" s="6" t="s">
        <v>683</v>
      </c>
      <c r="D937" s="223"/>
      <c r="E937" s="226"/>
      <c r="F937" s="223"/>
      <c r="G937" s="2"/>
      <c r="H937" s="238"/>
      <c r="I937" s="51">
        <f>+F937*0.15</f>
        <v>0</v>
      </c>
      <c r="J937" s="240"/>
      <c r="K937" s="51"/>
      <c r="L937" s="240"/>
      <c r="M937" s="245" t="s">
        <v>117</v>
      </c>
    </row>
    <row r="938" spans="1:13">
      <c r="A938" s="281">
        <v>4</v>
      </c>
      <c r="B938" s="13" t="s">
        <v>682</v>
      </c>
      <c r="C938" s="6" t="s">
        <v>683</v>
      </c>
      <c r="D938" s="223"/>
      <c r="E938" s="223"/>
      <c r="F938" s="223"/>
      <c r="G938" s="2"/>
      <c r="H938" s="238"/>
      <c r="I938" s="51">
        <f t="shared" ref="I938:I944" si="146">+F938*0.2</f>
        <v>0</v>
      </c>
      <c r="J938" s="52"/>
      <c r="K938" s="53"/>
      <c r="L938" s="52"/>
      <c r="M938" s="245" t="s">
        <v>118</v>
      </c>
    </row>
    <row r="939" spans="1:13">
      <c r="A939" s="280">
        <v>4</v>
      </c>
      <c r="B939" s="13" t="s">
        <v>682</v>
      </c>
      <c r="C939" s="6" t="s">
        <v>683</v>
      </c>
      <c r="D939" s="223"/>
      <c r="E939" s="226"/>
      <c r="F939" s="235"/>
      <c r="G939" s="2"/>
      <c r="H939" s="51">
        <f>+F939*0.15</f>
        <v>0</v>
      </c>
      <c r="I939" s="51">
        <f t="shared" si="146"/>
        <v>0</v>
      </c>
      <c r="J939" s="84">
        <f>+(F939+H939+I939)/5300</f>
        <v>0</v>
      </c>
      <c r="K939" s="52">
        <f>J939*E939</f>
        <v>0</v>
      </c>
      <c r="L939" s="219"/>
      <c r="M939" s="245" t="s">
        <v>23</v>
      </c>
    </row>
    <row r="940" spans="1:13">
      <c r="A940" s="151">
        <v>4</v>
      </c>
      <c r="B940" s="13" t="s">
        <v>682</v>
      </c>
      <c r="C940" s="6" t="s">
        <v>683</v>
      </c>
      <c r="D940" s="48"/>
      <c r="E940" s="49"/>
      <c r="F940" s="48"/>
      <c r="G940" s="9"/>
      <c r="H940" s="51"/>
      <c r="I940" s="51">
        <f t="shared" si="146"/>
        <v>0</v>
      </c>
      <c r="J940" s="52"/>
      <c r="K940" s="53"/>
      <c r="L940" s="54"/>
      <c r="M940" s="245" t="s">
        <v>30</v>
      </c>
    </row>
    <row r="941" spans="1:13">
      <c r="A941" s="280">
        <v>4</v>
      </c>
      <c r="B941" s="13" t="s">
        <v>682</v>
      </c>
      <c r="C941" s="6" t="s">
        <v>683</v>
      </c>
      <c r="D941" s="104"/>
      <c r="E941" s="226"/>
      <c r="F941" s="223"/>
      <c r="G941" s="2"/>
      <c r="H941" s="238"/>
      <c r="I941" s="51">
        <f t="shared" si="146"/>
        <v>0</v>
      </c>
      <c r="J941" s="52">
        <f>+(H941+I941+F941)/5300</f>
        <v>0</v>
      </c>
      <c r="K941" s="53"/>
      <c r="L941" s="52">
        <f>E941*J941</f>
        <v>0</v>
      </c>
      <c r="M941" s="245" t="s">
        <v>93</v>
      </c>
    </row>
    <row r="942" spans="1:13">
      <c r="A942" s="280">
        <v>4</v>
      </c>
      <c r="B942" s="13" t="s">
        <v>682</v>
      </c>
      <c r="C942" s="6" t="s">
        <v>683</v>
      </c>
      <c r="D942" s="223"/>
      <c r="E942" s="226"/>
      <c r="F942" s="223"/>
      <c r="G942" s="2"/>
      <c r="H942" s="238"/>
      <c r="I942" s="51">
        <f t="shared" si="146"/>
        <v>0</v>
      </c>
      <c r="J942" s="52"/>
      <c r="K942" s="52"/>
      <c r="L942" s="219"/>
      <c r="M942" s="245" t="s">
        <v>87</v>
      </c>
    </row>
    <row r="943" spans="1:13">
      <c r="A943" s="280">
        <v>4</v>
      </c>
      <c r="B943" s="13" t="s">
        <v>682</v>
      </c>
      <c r="C943" s="6" t="s">
        <v>683</v>
      </c>
      <c r="D943" s="223"/>
      <c r="E943" s="226"/>
      <c r="F943" s="223"/>
      <c r="G943" s="2"/>
      <c r="H943" s="238"/>
      <c r="I943" s="51">
        <f t="shared" si="146"/>
        <v>0</v>
      </c>
      <c r="J943" s="128"/>
      <c r="K943" s="53"/>
      <c r="L943" s="52"/>
      <c r="M943" s="245" t="s">
        <v>15</v>
      </c>
    </row>
    <row r="944" spans="1:13">
      <c r="A944" s="94" t="s">
        <v>617</v>
      </c>
      <c r="B944" s="95" t="s">
        <v>684</v>
      </c>
      <c r="C944" s="207" t="s">
        <v>685</v>
      </c>
      <c r="D944" s="207" t="s">
        <v>326</v>
      </c>
      <c r="E944" s="227">
        <v>1</v>
      </c>
      <c r="F944" s="222">
        <v>4000000</v>
      </c>
      <c r="G944" s="236">
        <f t="shared" ref="G944:G952" si="147">F944*E944</f>
        <v>4000000</v>
      </c>
      <c r="H944" s="239">
        <f t="shared" ref="H944:H952" si="148">+F944*0.15</f>
        <v>600000</v>
      </c>
      <c r="I944" s="206">
        <f t="shared" si="146"/>
        <v>800000</v>
      </c>
      <c r="J944" s="84">
        <f>+(F944+H944+I944)/5300</f>
        <v>1018.8679245283018</v>
      </c>
      <c r="K944" s="241">
        <f>+J944*E944</f>
        <v>1018.8679245283018</v>
      </c>
      <c r="L944" s="219"/>
      <c r="M944" s="245" t="s">
        <v>20</v>
      </c>
    </row>
    <row r="945" spans="1:13">
      <c r="A945" s="94" t="s">
        <v>617</v>
      </c>
      <c r="B945" s="95" t="s">
        <v>684</v>
      </c>
      <c r="C945" s="26" t="s">
        <v>685</v>
      </c>
      <c r="D945" s="26" t="s">
        <v>326</v>
      </c>
      <c r="E945" s="226">
        <v>1</v>
      </c>
      <c r="F945" s="223">
        <v>5000000</v>
      </c>
      <c r="G945" s="2">
        <f t="shared" si="147"/>
        <v>5000000</v>
      </c>
      <c r="H945" s="238">
        <f t="shared" si="148"/>
        <v>750000</v>
      </c>
      <c r="I945" s="51">
        <f>+F945*0.15</f>
        <v>750000</v>
      </c>
      <c r="J945" s="240">
        <f>+(F945+H945+I945)/5300</f>
        <v>1226.4150943396226</v>
      </c>
      <c r="K945" s="51">
        <f>+J945*E945</f>
        <v>1226.4150943396226</v>
      </c>
      <c r="L945" s="240">
        <f>+E945*J945</f>
        <v>1226.4150943396226</v>
      </c>
      <c r="M945" s="245" t="s">
        <v>117</v>
      </c>
    </row>
    <row r="946" spans="1:13">
      <c r="A946" s="94" t="s">
        <v>617</v>
      </c>
      <c r="B946" s="95" t="s">
        <v>684</v>
      </c>
      <c r="C946" s="26" t="s">
        <v>685</v>
      </c>
      <c r="D946" s="26" t="s">
        <v>326</v>
      </c>
      <c r="E946" s="226">
        <v>1</v>
      </c>
      <c r="F946" s="235">
        <v>5000000</v>
      </c>
      <c r="G946" s="2">
        <f t="shared" si="147"/>
        <v>5000000</v>
      </c>
      <c r="H946" s="51">
        <f t="shared" si="148"/>
        <v>750000</v>
      </c>
      <c r="I946" s="51">
        <f t="shared" ref="I946:I952" si="149">+F946*0.2</f>
        <v>1000000</v>
      </c>
      <c r="J946" s="84">
        <f>+(F946+H946+I946)/5300</f>
        <v>1273.5849056603774</v>
      </c>
      <c r="K946" s="52">
        <f>J946*E946</f>
        <v>1273.5849056603774</v>
      </c>
      <c r="L946" s="219"/>
      <c r="M946" s="245" t="s">
        <v>23</v>
      </c>
    </row>
    <row r="947" spans="1:13">
      <c r="A947" s="94" t="s">
        <v>617</v>
      </c>
      <c r="B947" s="95" t="s">
        <v>684</v>
      </c>
      <c r="C947" s="26" t="s">
        <v>685</v>
      </c>
      <c r="D947" s="104" t="s">
        <v>326</v>
      </c>
      <c r="E947" s="226">
        <v>1</v>
      </c>
      <c r="F947" s="223">
        <v>6000000</v>
      </c>
      <c r="G947" s="2">
        <f t="shared" si="147"/>
        <v>6000000</v>
      </c>
      <c r="H947" s="238">
        <f t="shared" si="148"/>
        <v>900000</v>
      </c>
      <c r="I947" s="51">
        <f t="shared" si="149"/>
        <v>1200000</v>
      </c>
      <c r="J947" s="52">
        <f>+(H947+I947+F947)/5300</f>
        <v>1528.3018867924529</v>
      </c>
      <c r="K947" s="53">
        <f t="shared" ref="K947:K952" si="150">+J947*E947</f>
        <v>1528.3018867924529</v>
      </c>
      <c r="L947" s="52">
        <f>E947*J947</f>
        <v>1528.3018867924529</v>
      </c>
      <c r="M947" s="245" t="s">
        <v>93</v>
      </c>
    </row>
    <row r="948" spans="1:13">
      <c r="A948" s="94" t="s">
        <v>617</v>
      </c>
      <c r="B948" s="95" t="s">
        <v>684</v>
      </c>
      <c r="C948" s="26" t="s">
        <v>685</v>
      </c>
      <c r="D948" s="26" t="s">
        <v>326</v>
      </c>
      <c r="E948" s="226">
        <v>1</v>
      </c>
      <c r="F948" s="223">
        <v>4000000</v>
      </c>
      <c r="G948" s="2">
        <f t="shared" si="147"/>
        <v>4000000</v>
      </c>
      <c r="H948" s="238">
        <f t="shared" si="148"/>
        <v>600000</v>
      </c>
      <c r="I948" s="51">
        <f t="shared" si="149"/>
        <v>800000</v>
      </c>
      <c r="J948" s="128">
        <f>+(F948+H948+I948)/5300</f>
        <v>1018.8679245283018</v>
      </c>
      <c r="K948" s="53">
        <f t="shared" si="150"/>
        <v>1018.8679245283018</v>
      </c>
      <c r="L948" s="52">
        <f>E948*J948</f>
        <v>1018.8679245283018</v>
      </c>
      <c r="M948" s="245" t="s">
        <v>15</v>
      </c>
    </row>
    <row r="949" spans="1:13">
      <c r="A949" s="1" t="s">
        <v>617</v>
      </c>
      <c r="B949" s="95" t="s">
        <v>686</v>
      </c>
      <c r="C949" s="26" t="s">
        <v>687</v>
      </c>
      <c r="D949" s="26" t="s">
        <v>326</v>
      </c>
      <c r="E949" s="226">
        <v>1</v>
      </c>
      <c r="F949" s="223">
        <v>5500000</v>
      </c>
      <c r="G949" s="2">
        <f t="shared" si="147"/>
        <v>5500000</v>
      </c>
      <c r="H949" s="51">
        <f t="shared" si="148"/>
        <v>825000</v>
      </c>
      <c r="I949" s="51">
        <f t="shared" si="149"/>
        <v>1100000</v>
      </c>
      <c r="J949" s="52">
        <f>+(F949+H949+I949)/5300</f>
        <v>1400.9433962264152</v>
      </c>
      <c r="K949" s="52">
        <f t="shared" si="150"/>
        <v>1400.9433962264152</v>
      </c>
      <c r="L949" s="219"/>
      <c r="M949" s="245" t="s">
        <v>89</v>
      </c>
    </row>
    <row r="950" spans="1:13">
      <c r="A950" s="94" t="s">
        <v>617</v>
      </c>
      <c r="B950" s="95" t="s">
        <v>686</v>
      </c>
      <c r="C950" s="26" t="s">
        <v>687</v>
      </c>
      <c r="D950" s="26" t="s">
        <v>326</v>
      </c>
      <c r="E950" s="226">
        <v>1</v>
      </c>
      <c r="F950" s="223">
        <v>5000000</v>
      </c>
      <c r="G950" s="2">
        <f t="shared" si="147"/>
        <v>5000000</v>
      </c>
      <c r="H950" s="238">
        <f t="shared" si="148"/>
        <v>750000</v>
      </c>
      <c r="I950" s="51">
        <f t="shared" si="149"/>
        <v>1000000</v>
      </c>
      <c r="J950" s="52">
        <f>+(F950+H950+I950)/5300</f>
        <v>1273.5849056603774</v>
      </c>
      <c r="K950" s="52">
        <f t="shared" si="150"/>
        <v>1273.5849056603774</v>
      </c>
      <c r="L950" s="219"/>
      <c r="M950" s="245" t="s">
        <v>87</v>
      </c>
    </row>
    <row r="951" spans="1:13">
      <c r="A951" s="1" t="s">
        <v>617</v>
      </c>
      <c r="B951" s="95" t="s">
        <v>688</v>
      </c>
      <c r="C951" s="26" t="s">
        <v>689</v>
      </c>
      <c r="D951" s="26" t="s">
        <v>326</v>
      </c>
      <c r="E951" s="223">
        <v>1</v>
      </c>
      <c r="F951" s="223">
        <v>8000000</v>
      </c>
      <c r="G951" s="2">
        <f t="shared" si="147"/>
        <v>8000000</v>
      </c>
      <c r="H951" s="238">
        <f t="shared" si="148"/>
        <v>1200000</v>
      </c>
      <c r="I951" s="51">
        <f t="shared" si="149"/>
        <v>1600000</v>
      </c>
      <c r="J951" s="52">
        <f>+(F951+H951+I951)/5300</f>
        <v>2037.7358490566037</v>
      </c>
      <c r="K951" s="53">
        <f t="shared" si="150"/>
        <v>2037.7358490566037</v>
      </c>
      <c r="L951" s="52">
        <f>J951*E951</f>
        <v>2037.7358490566037</v>
      </c>
      <c r="M951" s="245" t="s">
        <v>118</v>
      </c>
    </row>
    <row r="952" spans="1:13">
      <c r="A952" s="218" t="s">
        <v>617</v>
      </c>
      <c r="B952" s="95" t="s">
        <v>690</v>
      </c>
      <c r="C952" s="26" t="s">
        <v>691</v>
      </c>
      <c r="D952" s="25" t="s">
        <v>326</v>
      </c>
      <c r="E952" s="49">
        <v>1</v>
      </c>
      <c r="F952" s="48">
        <v>12000000</v>
      </c>
      <c r="G952" s="9">
        <f t="shared" si="147"/>
        <v>12000000</v>
      </c>
      <c r="H952" s="51">
        <f t="shared" si="148"/>
        <v>1800000</v>
      </c>
      <c r="I952" s="51">
        <f t="shared" si="149"/>
        <v>2400000</v>
      </c>
      <c r="J952" s="52">
        <f>+(F952+H952+I952)/5300</f>
        <v>3056.6037735849059</v>
      </c>
      <c r="K952" s="53">
        <f t="shared" si="150"/>
        <v>3056.6037735849059</v>
      </c>
      <c r="L952" s="54">
        <f>+J952*E952</f>
        <v>3056.6037735849059</v>
      </c>
      <c r="M952" s="245" t="s">
        <v>30</v>
      </c>
    </row>
    <row r="953" spans="1:13">
      <c r="A953" s="280" t="s">
        <v>692</v>
      </c>
      <c r="B953" s="13" t="s">
        <v>692</v>
      </c>
      <c r="C953" s="72" t="s">
        <v>693</v>
      </c>
      <c r="D953" s="5"/>
      <c r="E953" s="101"/>
      <c r="F953" s="102"/>
      <c r="G953" s="103"/>
      <c r="H953" s="32"/>
      <c r="I953" s="32"/>
      <c r="J953" s="41"/>
      <c r="K953" s="53"/>
      <c r="L953" s="52"/>
      <c r="M953" s="245" t="s">
        <v>17</v>
      </c>
    </row>
    <row r="954" spans="1:13" ht="27.6">
      <c r="A954" s="94" t="s">
        <v>694</v>
      </c>
      <c r="B954" s="95" t="s">
        <v>694</v>
      </c>
      <c r="C954" s="104" t="s">
        <v>695</v>
      </c>
      <c r="D954" s="27" t="s">
        <v>39</v>
      </c>
      <c r="E954" s="36">
        <f>+(1.2*1.2*11*1.05)+(56.85*0.65*0.5)</f>
        <v>35.108249999999998</v>
      </c>
      <c r="F954" s="105"/>
      <c r="G954" s="106"/>
      <c r="H954" s="32"/>
      <c r="I954" s="32"/>
      <c r="J954" s="41">
        <v>4</v>
      </c>
      <c r="K954" s="76">
        <f>+J954*E954</f>
        <v>140.43299999999999</v>
      </c>
      <c r="L954" s="71">
        <f>J954*E954</f>
        <v>140.43299999999999</v>
      </c>
      <c r="M954" s="245" t="s">
        <v>17</v>
      </c>
    </row>
    <row r="955" spans="1:13" ht="27.6">
      <c r="A955" s="280">
        <v>1000</v>
      </c>
      <c r="B955" s="13" t="s">
        <v>696</v>
      </c>
      <c r="C955" s="146" t="s">
        <v>697</v>
      </c>
      <c r="D955" s="146"/>
      <c r="E955" s="213"/>
      <c r="F955" s="146"/>
      <c r="G955" s="236"/>
      <c r="H955" s="239"/>
      <c r="I955" s="206"/>
      <c r="J955" s="84"/>
      <c r="K955" s="241"/>
      <c r="L955" s="219"/>
      <c r="M955" s="245" t="s">
        <v>20</v>
      </c>
    </row>
    <row r="956" spans="1:13" ht="27.6">
      <c r="A956" s="281">
        <v>1000</v>
      </c>
      <c r="B956" s="13" t="s">
        <v>696</v>
      </c>
      <c r="C956" s="6" t="s">
        <v>697</v>
      </c>
      <c r="D956" s="6"/>
      <c r="E956" s="45"/>
      <c r="F956" s="6"/>
      <c r="G956" s="2"/>
      <c r="H956" s="51"/>
      <c r="I956" s="51"/>
      <c r="J956" s="52"/>
      <c r="K956" s="52"/>
      <c r="L956" s="219"/>
      <c r="M956" s="245" t="s">
        <v>89</v>
      </c>
    </row>
    <row r="957" spans="1:13" ht="27.6">
      <c r="A957" s="280">
        <v>1000</v>
      </c>
      <c r="B957" s="13" t="s">
        <v>696</v>
      </c>
      <c r="C957" s="6" t="s">
        <v>697</v>
      </c>
      <c r="D957" s="6"/>
      <c r="E957" s="45"/>
      <c r="F957" s="234"/>
      <c r="G957" s="2"/>
      <c r="H957" s="51"/>
      <c r="I957" s="51"/>
      <c r="J957" s="84"/>
      <c r="K957" s="52"/>
      <c r="L957" s="219"/>
      <c r="M957" s="245" t="s">
        <v>23</v>
      </c>
    </row>
    <row r="958" spans="1:13" ht="27.6">
      <c r="A958" s="151">
        <v>1000</v>
      </c>
      <c r="B958" s="13" t="s">
        <v>696</v>
      </c>
      <c r="C958" s="6" t="s">
        <v>697</v>
      </c>
      <c r="D958" s="23"/>
      <c r="E958" s="65"/>
      <c r="F958" s="23"/>
      <c r="G958" s="9"/>
      <c r="H958" s="69"/>
      <c r="I958" s="69"/>
      <c r="J958" s="67"/>
      <c r="K958" s="23"/>
      <c r="L958" s="54"/>
      <c r="M958" s="245" t="s">
        <v>30</v>
      </c>
    </row>
    <row r="959" spans="1:13" ht="27.6">
      <c r="A959" s="280">
        <v>1000</v>
      </c>
      <c r="B959" s="13" t="s">
        <v>696</v>
      </c>
      <c r="C959" s="6" t="s">
        <v>697</v>
      </c>
      <c r="D959" s="156"/>
      <c r="E959" s="45"/>
      <c r="F959" s="6"/>
      <c r="G959" s="2"/>
      <c r="H959" s="238"/>
      <c r="I959" s="51"/>
      <c r="J959" s="52"/>
      <c r="K959" s="53"/>
      <c r="L959" s="52"/>
      <c r="M959" s="245" t="s">
        <v>93</v>
      </c>
    </row>
    <row r="960" spans="1:13" ht="27.6">
      <c r="A960" s="280">
        <v>1000</v>
      </c>
      <c r="B960" s="13" t="s">
        <v>696</v>
      </c>
      <c r="C960" s="6" t="s">
        <v>697</v>
      </c>
      <c r="D960" s="6"/>
      <c r="E960" s="45"/>
      <c r="F960" s="6"/>
      <c r="G960" s="2"/>
      <c r="H960" s="238"/>
      <c r="I960" s="51"/>
      <c r="J960" s="52"/>
      <c r="K960" s="52"/>
      <c r="L960" s="219"/>
      <c r="M960" s="245" t="s">
        <v>87</v>
      </c>
    </row>
    <row r="961" spans="1:13" ht="27.6">
      <c r="A961" s="280">
        <v>1000</v>
      </c>
      <c r="B961" s="13" t="s">
        <v>696</v>
      </c>
      <c r="C961" s="6" t="s">
        <v>697</v>
      </c>
      <c r="D961" s="6"/>
      <c r="E961" s="45"/>
      <c r="F961" s="6"/>
      <c r="G961" s="2"/>
      <c r="H961" s="238"/>
      <c r="I961" s="51"/>
      <c r="J961" s="128"/>
      <c r="K961" s="53"/>
      <c r="L961" s="52"/>
      <c r="M961" s="245" t="s">
        <v>15</v>
      </c>
    </row>
    <row r="962" spans="1:13" ht="27.6">
      <c r="A962" s="151">
        <v>1000</v>
      </c>
      <c r="B962" s="13" t="s">
        <v>696</v>
      </c>
      <c r="C962" s="6" t="s">
        <v>697</v>
      </c>
      <c r="D962" s="23"/>
      <c r="E962" s="65"/>
      <c r="F962" s="23"/>
      <c r="G962" s="9"/>
      <c r="H962" s="51"/>
      <c r="I962" s="51"/>
      <c r="J962" s="128"/>
      <c r="K962" s="53"/>
      <c r="L962" s="52"/>
      <c r="M962" s="245" t="s">
        <v>17</v>
      </c>
    </row>
    <row r="963" spans="1:13" ht="27.6">
      <c r="A963" s="151">
        <v>1000</v>
      </c>
      <c r="B963" s="13" t="s">
        <v>696</v>
      </c>
      <c r="C963" s="6" t="s">
        <v>697</v>
      </c>
      <c r="D963" s="23"/>
      <c r="E963" s="65"/>
      <c r="F963" s="23"/>
      <c r="G963" s="9"/>
      <c r="H963" s="51"/>
      <c r="I963" s="51"/>
      <c r="J963" s="128"/>
      <c r="K963" s="53"/>
      <c r="L963" s="52"/>
      <c r="M963" s="245" t="s">
        <v>17</v>
      </c>
    </row>
    <row r="964" spans="1:13">
      <c r="A964" s="94" t="s">
        <v>698</v>
      </c>
      <c r="B964" s="95" t="s">
        <v>699</v>
      </c>
      <c r="C964" s="207" t="s">
        <v>700</v>
      </c>
      <c r="D964" s="207" t="s">
        <v>67</v>
      </c>
      <c r="E964" s="227">
        <v>303</v>
      </c>
      <c r="F964" s="236">
        <v>3000</v>
      </c>
      <c r="G964" s="236">
        <f t="shared" ref="G964:G972" si="151">F964*E964</f>
        <v>909000</v>
      </c>
      <c r="H964" s="239">
        <f t="shared" ref="H964:H972" si="152">+F964*0.15</f>
        <v>450</v>
      </c>
      <c r="I964" s="206">
        <f t="shared" ref="I964:I972" si="153">+F964*0.2</f>
        <v>600</v>
      </c>
      <c r="J964" s="84">
        <f>+(F964+H964+I964)/5300</f>
        <v>0.76415094339622647</v>
      </c>
      <c r="K964" s="241">
        <f>E964*J964</f>
        <v>231.53773584905662</v>
      </c>
      <c r="L964" s="219"/>
      <c r="M964" s="245" t="s">
        <v>20</v>
      </c>
    </row>
    <row r="965" spans="1:13">
      <c r="A965" s="1" t="s">
        <v>698</v>
      </c>
      <c r="B965" s="95" t="s">
        <v>699</v>
      </c>
      <c r="C965" s="26" t="s">
        <v>700</v>
      </c>
      <c r="D965" s="26" t="s">
        <v>67</v>
      </c>
      <c r="E965" s="226">
        <v>132</v>
      </c>
      <c r="F965" s="223">
        <v>3000</v>
      </c>
      <c r="G965" s="2">
        <f t="shared" si="151"/>
        <v>396000</v>
      </c>
      <c r="H965" s="51">
        <f t="shared" si="152"/>
        <v>450</v>
      </c>
      <c r="I965" s="51">
        <f t="shared" si="153"/>
        <v>600</v>
      </c>
      <c r="J965" s="52">
        <f>+(I965+H965+F965)/5300</f>
        <v>0.76415094339622647</v>
      </c>
      <c r="K965" s="52">
        <f>+J965*E965</f>
        <v>100.8679245283019</v>
      </c>
      <c r="L965" s="219"/>
      <c r="M965" s="245" t="s">
        <v>89</v>
      </c>
    </row>
    <row r="966" spans="1:13">
      <c r="A966" s="94" t="s">
        <v>698</v>
      </c>
      <c r="B966" s="95" t="s">
        <v>699</v>
      </c>
      <c r="C966" s="26" t="s">
        <v>700</v>
      </c>
      <c r="D966" s="26" t="s">
        <v>67</v>
      </c>
      <c r="E966" s="226">
        <v>355</v>
      </c>
      <c r="F966" s="235">
        <v>4000</v>
      </c>
      <c r="G966" s="2">
        <f t="shared" si="151"/>
        <v>1420000</v>
      </c>
      <c r="H966" s="51">
        <f t="shared" si="152"/>
        <v>600</v>
      </c>
      <c r="I966" s="51">
        <f t="shared" si="153"/>
        <v>800</v>
      </c>
      <c r="J966" s="84">
        <f>+(I966+H966+F966)/5300</f>
        <v>1.0188679245283019</v>
      </c>
      <c r="K966" s="84">
        <f>J966*E966</f>
        <v>361.69811320754718</v>
      </c>
      <c r="L966" s="219"/>
      <c r="M966" s="245" t="s">
        <v>23</v>
      </c>
    </row>
    <row r="967" spans="1:13">
      <c r="A967" s="218" t="s">
        <v>698</v>
      </c>
      <c r="B967" s="95" t="s">
        <v>699</v>
      </c>
      <c r="C967" s="26" t="s">
        <v>700</v>
      </c>
      <c r="D967" s="27" t="s">
        <v>67</v>
      </c>
      <c r="E967" s="70">
        <v>24</v>
      </c>
      <c r="F967" s="27">
        <v>3000</v>
      </c>
      <c r="G967" s="38">
        <f t="shared" si="151"/>
        <v>72000</v>
      </c>
      <c r="H967" s="56">
        <f t="shared" si="152"/>
        <v>450</v>
      </c>
      <c r="I967" s="56">
        <f t="shared" si="153"/>
        <v>600</v>
      </c>
      <c r="J967" s="71">
        <f>+(F967+H967+I967)/5300</f>
        <v>0.76415094339622647</v>
      </c>
      <c r="K967" s="27">
        <f t="shared" ref="K967:K972" si="154">+J967*E967</f>
        <v>18.339622641509436</v>
      </c>
      <c r="L967" s="71">
        <f>J967*E967</f>
        <v>18.339622641509436</v>
      </c>
      <c r="M967" s="245" t="s">
        <v>30</v>
      </c>
    </row>
    <row r="968" spans="1:13">
      <c r="A968" s="94" t="s">
        <v>698</v>
      </c>
      <c r="B968" s="95" t="s">
        <v>699</v>
      </c>
      <c r="C968" s="26" t="s">
        <v>700</v>
      </c>
      <c r="D968" s="104" t="s">
        <v>67</v>
      </c>
      <c r="E968" s="226">
        <v>50</v>
      </c>
      <c r="F968" s="223">
        <v>3000</v>
      </c>
      <c r="G968" s="2">
        <f t="shared" si="151"/>
        <v>150000</v>
      </c>
      <c r="H968" s="238">
        <f t="shared" si="152"/>
        <v>450</v>
      </c>
      <c r="I968" s="51">
        <f t="shared" si="153"/>
        <v>600</v>
      </c>
      <c r="J968" s="52">
        <f>+(H968+I968+F968)/5300</f>
        <v>0.76415094339622647</v>
      </c>
      <c r="K968" s="53">
        <f t="shared" si="154"/>
        <v>38.20754716981132</v>
      </c>
      <c r="L968" s="52">
        <f>J968*E968</f>
        <v>38.20754716981132</v>
      </c>
      <c r="M968" s="245" t="s">
        <v>93</v>
      </c>
    </row>
    <row r="969" spans="1:13">
      <c r="A969" s="94" t="s">
        <v>698</v>
      </c>
      <c r="B969" s="95" t="s">
        <v>699</v>
      </c>
      <c r="C969" s="26" t="s">
        <v>700</v>
      </c>
      <c r="D969" s="26" t="s">
        <v>67</v>
      </c>
      <c r="E969" s="226">
        <v>123</v>
      </c>
      <c r="F969" s="223">
        <v>3000</v>
      </c>
      <c r="G969" s="2">
        <f t="shared" si="151"/>
        <v>369000</v>
      </c>
      <c r="H969" s="238">
        <f t="shared" si="152"/>
        <v>450</v>
      </c>
      <c r="I969" s="51">
        <f t="shared" si="153"/>
        <v>600</v>
      </c>
      <c r="J969" s="52">
        <f>+(F969+H969+I969)/5300</f>
        <v>0.76415094339622647</v>
      </c>
      <c r="K969" s="52">
        <f t="shared" si="154"/>
        <v>93.99056603773586</v>
      </c>
      <c r="L969" s="219"/>
      <c r="M969" s="245" t="s">
        <v>87</v>
      </c>
    </row>
    <row r="970" spans="1:13">
      <c r="A970" s="94" t="s">
        <v>698</v>
      </c>
      <c r="B970" s="95" t="s">
        <v>699</v>
      </c>
      <c r="C970" s="26" t="s">
        <v>700</v>
      </c>
      <c r="D970" s="26" t="s">
        <v>67</v>
      </c>
      <c r="E970" s="226">
        <v>162</v>
      </c>
      <c r="F970" s="223">
        <v>3000</v>
      </c>
      <c r="G970" s="2">
        <f t="shared" si="151"/>
        <v>486000</v>
      </c>
      <c r="H970" s="238">
        <f t="shared" si="152"/>
        <v>450</v>
      </c>
      <c r="I970" s="51">
        <f t="shared" si="153"/>
        <v>600</v>
      </c>
      <c r="J970" s="128">
        <f>+(F970+H970+I970)/5300</f>
        <v>0.76415094339622647</v>
      </c>
      <c r="K970" s="53">
        <f t="shared" si="154"/>
        <v>123.79245283018869</v>
      </c>
      <c r="L970" s="52">
        <f>E970*J970</f>
        <v>123.79245283018869</v>
      </c>
      <c r="M970" s="245" t="s">
        <v>15</v>
      </c>
    </row>
    <row r="971" spans="1:13">
      <c r="A971" s="218" t="s">
        <v>698</v>
      </c>
      <c r="B971" s="95" t="s">
        <v>699</v>
      </c>
      <c r="C971" s="26" t="s">
        <v>700</v>
      </c>
      <c r="D971" s="25" t="s">
        <v>67</v>
      </c>
      <c r="E971" s="49">
        <v>24</v>
      </c>
      <c r="F971" s="48">
        <v>3000</v>
      </c>
      <c r="G971" s="9">
        <f t="shared" si="151"/>
        <v>72000</v>
      </c>
      <c r="H971" s="51">
        <f t="shared" si="152"/>
        <v>450</v>
      </c>
      <c r="I971" s="51">
        <f t="shared" si="153"/>
        <v>600</v>
      </c>
      <c r="J971" s="128">
        <f>+(F971+H971+I971)/5300</f>
        <v>0.76415094339622647</v>
      </c>
      <c r="K971" s="53">
        <f t="shared" si="154"/>
        <v>18.339622641509436</v>
      </c>
      <c r="L971" s="52">
        <f>J971*E971</f>
        <v>18.339622641509436</v>
      </c>
      <c r="M971" s="245" t="s">
        <v>17</v>
      </c>
    </row>
    <row r="972" spans="1:13">
      <c r="A972" s="218" t="s">
        <v>698</v>
      </c>
      <c r="B972" s="95" t="s">
        <v>699</v>
      </c>
      <c r="C972" s="26" t="s">
        <v>700</v>
      </c>
      <c r="D972" s="25" t="s">
        <v>67</v>
      </c>
      <c r="E972" s="49">
        <v>48</v>
      </c>
      <c r="F972" s="48">
        <v>3000</v>
      </c>
      <c r="G972" s="9">
        <f t="shared" si="151"/>
        <v>144000</v>
      </c>
      <c r="H972" s="51">
        <f t="shared" si="152"/>
        <v>450</v>
      </c>
      <c r="I972" s="51">
        <f t="shared" si="153"/>
        <v>600</v>
      </c>
      <c r="J972" s="128">
        <f>+(F972+H972+I972)/5300</f>
        <v>0.76415094339622647</v>
      </c>
      <c r="K972" s="53">
        <f t="shared" si="154"/>
        <v>36.679245283018872</v>
      </c>
      <c r="L972" s="52">
        <f>J972*E972</f>
        <v>36.679245283018872</v>
      </c>
      <c r="M972" s="245" t="s">
        <v>17</v>
      </c>
    </row>
    <row r="973" spans="1:13">
      <c r="A973" s="151" t="s">
        <v>701</v>
      </c>
      <c r="B973" s="5" t="s">
        <v>701</v>
      </c>
      <c r="C973" s="117" t="s">
        <v>702</v>
      </c>
      <c r="D973" s="27"/>
      <c r="E973" s="36"/>
      <c r="F973" s="107"/>
      <c r="G973" s="103"/>
      <c r="H973" s="32"/>
      <c r="I973" s="32"/>
      <c r="J973" s="90"/>
      <c r="K973" s="53"/>
      <c r="L973" s="52"/>
      <c r="M973" s="245" t="s">
        <v>17</v>
      </c>
    </row>
    <row r="974" spans="1:13">
      <c r="A974" s="320" t="s">
        <v>703</v>
      </c>
      <c r="B974" s="124" t="s">
        <v>704</v>
      </c>
      <c r="C974" s="113" t="s">
        <v>705</v>
      </c>
      <c r="D974" s="27" t="s">
        <v>175</v>
      </c>
      <c r="E974" s="36">
        <v>5</v>
      </c>
      <c r="F974" s="144"/>
      <c r="G974" s="106"/>
      <c r="H974" s="40"/>
      <c r="I974" s="40"/>
      <c r="J974" s="143">
        <v>250</v>
      </c>
      <c r="K974" s="76"/>
      <c r="L974" s="127">
        <f>+J974*E974</f>
        <v>1250</v>
      </c>
      <c r="M974" s="245" t="s">
        <v>17</v>
      </c>
    </row>
    <row r="975" spans="1:13">
      <c r="A975" s="320" t="s">
        <v>706</v>
      </c>
      <c r="B975" s="124" t="s">
        <v>707</v>
      </c>
      <c r="C975" s="104" t="s">
        <v>708</v>
      </c>
      <c r="D975" s="27" t="s">
        <v>67</v>
      </c>
      <c r="E975" s="36">
        <f>20.5*7</f>
        <v>143.5</v>
      </c>
      <c r="F975" s="144"/>
      <c r="G975" s="106"/>
      <c r="H975" s="40"/>
      <c r="I975" s="40"/>
      <c r="J975" s="90">
        <v>6</v>
      </c>
      <c r="K975" s="131"/>
      <c r="L975" s="127">
        <f>+J975*E975</f>
        <v>861</v>
      </c>
      <c r="M975" s="245" t="s">
        <v>17</v>
      </c>
    </row>
    <row r="976" spans="1:13">
      <c r="A976" s="320" t="s">
        <v>709</v>
      </c>
      <c r="B976" s="124" t="s">
        <v>710</v>
      </c>
      <c r="C976" s="104" t="s">
        <v>711</v>
      </c>
      <c r="D976" s="27" t="s">
        <v>67</v>
      </c>
      <c r="E976" s="36">
        <f>21+8.7+0.8</f>
        <v>30.5</v>
      </c>
      <c r="F976" s="144"/>
      <c r="G976" s="106"/>
      <c r="H976" s="40"/>
      <c r="I976" s="40"/>
      <c r="J976" s="143">
        <v>8</v>
      </c>
      <c r="K976" s="76"/>
      <c r="L976" s="127">
        <f>+J976*E976</f>
        <v>244</v>
      </c>
      <c r="M976" s="245" t="s">
        <v>17</v>
      </c>
    </row>
    <row r="977" spans="1:13" ht="15.6">
      <c r="A977" s="320" t="s">
        <v>712</v>
      </c>
      <c r="B977" s="124" t="s">
        <v>713</v>
      </c>
      <c r="C977" s="26" t="s">
        <v>714</v>
      </c>
      <c r="D977" s="27" t="s">
        <v>386</v>
      </c>
      <c r="E977" s="36">
        <v>185.38</v>
      </c>
      <c r="F977" s="118"/>
      <c r="G977" s="106"/>
      <c r="H977" s="32"/>
      <c r="I977" s="32"/>
      <c r="J977" s="90">
        <v>22.64</v>
      </c>
      <c r="K977" s="53">
        <f>+J977*E977</f>
        <v>4197.0032000000001</v>
      </c>
      <c r="L977" s="129">
        <f>J977*E977</f>
        <v>4197.0032000000001</v>
      </c>
      <c r="M977" s="245" t="s">
        <v>17</v>
      </c>
    </row>
    <row r="978" spans="1:13">
      <c r="A978" s="287" t="s">
        <v>715</v>
      </c>
      <c r="B978" s="78" t="s">
        <v>715</v>
      </c>
      <c r="C978" s="109" t="s">
        <v>716</v>
      </c>
      <c r="D978" s="247"/>
      <c r="E978" s="248"/>
      <c r="F978" s="109"/>
      <c r="G978" s="288"/>
      <c r="H978" s="289"/>
      <c r="I978" s="289"/>
      <c r="J978" s="37"/>
      <c r="K978" s="108"/>
      <c r="L978" s="108" t="s">
        <v>28</v>
      </c>
      <c r="M978" s="290" t="s">
        <v>30</v>
      </c>
    </row>
    <row r="979" spans="1:13">
      <c r="A979" s="291" t="s">
        <v>717</v>
      </c>
      <c r="B979" s="253" t="s">
        <v>717</v>
      </c>
      <c r="C979" s="254" t="s">
        <v>718</v>
      </c>
      <c r="D979" s="255" t="s">
        <v>719</v>
      </c>
      <c r="E979" s="256"/>
      <c r="F979" s="55"/>
      <c r="G979" s="55"/>
      <c r="H979" s="55"/>
      <c r="I979" s="55"/>
      <c r="J979" s="257"/>
      <c r="K979" s="55"/>
      <c r="L979" s="25"/>
      <c r="M979" s="292" t="s">
        <v>30</v>
      </c>
    </row>
    <row r="980" spans="1:13">
      <c r="A980" s="291" t="s">
        <v>717</v>
      </c>
      <c r="B980" s="253" t="s">
        <v>717</v>
      </c>
      <c r="C980" s="254" t="s">
        <v>718</v>
      </c>
      <c r="D980" s="255" t="s">
        <v>719</v>
      </c>
      <c r="E980" s="256"/>
      <c r="F980" s="25"/>
      <c r="G980" s="25"/>
      <c r="H980" s="32"/>
      <c r="I980" s="32"/>
      <c r="J980" s="257"/>
      <c r="K980" s="76"/>
      <c r="L980" s="71"/>
      <c r="M980" s="292" t="s">
        <v>30</v>
      </c>
    </row>
    <row r="981" spans="1:13">
      <c r="A981" s="291" t="s">
        <v>717</v>
      </c>
      <c r="B981" s="253" t="s">
        <v>717</v>
      </c>
      <c r="C981" s="254" t="s">
        <v>718</v>
      </c>
      <c r="D981" s="255" t="s">
        <v>719</v>
      </c>
      <c r="E981" s="256"/>
      <c r="F981" s="7"/>
      <c r="G981" s="7"/>
      <c r="H981" s="7"/>
      <c r="I981" s="25"/>
      <c r="J981" s="257"/>
      <c r="K981" s="7"/>
      <c r="L981" s="25"/>
      <c r="M981" s="292" t="s">
        <v>17</v>
      </c>
    </row>
    <row r="982" spans="1:13">
      <c r="A982" s="291" t="s">
        <v>717</v>
      </c>
      <c r="B982" s="253" t="s">
        <v>717</v>
      </c>
      <c r="C982" s="254" t="s">
        <v>718</v>
      </c>
      <c r="D982" s="255" t="s">
        <v>719</v>
      </c>
      <c r="E982" s="256"/>
      <c r="F982" s="7"/>
      <c r="G982" s="7"/>
      <c r="H982" s="7"/>
      <c r="I982" s="25"/>
      <c r="J982" s="257"/>
      <c r="K982" s="7"/>
      <c r="L982" s="25"/>
      <c r="M982" s="292" t="s">
        <v>17</v>
      </c>
    </row>
    <row r="983" spans="1:13">
      <c r="A983" s="291" t="s">
        <v>717</v>
      </c>
      <c r="B983" s="253" t="s">
        <v>717</v>
      </c>
      <c r="C983" s="254" t="s">
        <v>720</v>
      </c>
      <c r="D983" s="255" t="s">
        <v>719</v>
      </c>
      <c r="E983" s="258"/>
      <c r="F983" s="104"/>
      <c r="G983" s="104"/>
      <c r="H983" s="32"/>
      <c r="I983" s="32"/>
      <c r="J983" s="257"/>
      <c r="K983" s="53">
        <f>+J983*E983</f>
        <v>0</v>
      </c>
      <c r="L983" s="129"/>
      <c r="M983" s="292" t="s">
        <v>17</v>
      </c>
    </row>
    <row r="984" spans="1:13">
      <c r="A984" s="218" t="s">
        <v>717</v>
      </c>
      <c r="B984" s="7" t="s">
        <v>717</v>
      </c>
      <c r="C984" s="25" t="s">
        <v>721</v>
      </c>
      <c r="D984" s="27" t="s">
        <v>123</v>
      </c>
      <c r="E984" s="249">
        <v>1</v>
      </c>
      <c r="F984" s="27"/>
      <c r="G984" s="27"/>
      <c r="H984" s="32"/>
      <c r="I984" s="32"/>
      <c r="J984" s="37">
        <f>15000000/5300</f>
        <v>2830.1886792452829</v>
      </c>
      <c r="K984" s="27">
        <f>+J984*E984</f>
        <v>2830.1886792452829</v>
      </c>
      <c r="L984" s="37">
        <f>+J984*E984</f>
        <v>2830.1886792452829</v>
      </c>
      <c r="M984" s="245" t="s">
        <v>30</v>
      </c>
    </row>
    <row r="985" spans="1:13">
      <c r="A985" s="218" t="s">
        <v>717</v>
      </c>
      <c r="B985" s="7" t="s">
        <v>717</v>
      </c>
      <c r="C985" s="25" t="s">
        <v>722</v>
      </c>
      <c r="D985" s="27" t="s">
        <v>123</v>
      </c>
      <c r="E985" s="250">
        <v>1</v>
      </c>
      <c r="F985" s="25"/>
      <c r="G985" s="25"/>
      <c r="H985" s="25"/>
      <c r="I985" s="25"/>
      <c r="J985" s="37">
        <v>2000</v>
      </c>
      <c r="K985" s="53">
        <f>+J985*E985</f>
        <v>2000</v>
      </c>
      <c r="L985" s="141">
        <f>J985*E985</f>
        <v>2000</v>
      </c>
      <c r="M985" s="245" t="s">
        <v>17</v>
      </c>
    </row>
    <row r="986" spans="1:13">
      <c r="A986" s="35" t="s">
        <v>723</v>
      </c>
      <c r="B986" s="7" t="s">
        <v>724</v>
      </c>
      <c r="C986" s="26" t="s">
        <v>725</v>
      </c>
      <c r="D986" s="27" t="s">
        <v>140</v>
      </c>
      <c r="E986" s="250">
        <v>1</v>
      </c>
      <c r="F986" s="25"/>
      <c r="G986" s="28"/>
      <c r="H986" s="32"/>
      <c r="I986" s="32"/>
      <c r="J986" s="37">
        <v>100</v>
      </c>
      <c r="K986" s="53"/>
      <c r="L986" s="129">
        <f>J986*E986</f>
        <v>100</v>
      </c>
      <c r="M986" s="245" t="s">
        <v>17</v>
      </c>
    </row>
    <row r="987" spans="1:13">
      <c r="A987" s="35" t="s">
        <v>723</v>
      </c>
      <c r="B987" s="7" t="s">
        <v>724</v>
      </c>
      <c r="C987" s="26" t="s">
        <v>725</v>
      </c>
      <c r="D987" s="27" t="s">
        <v>140</v>
      </c>
      <c r="E987" s="250">
        <v>1</v>
      </c>
      <c r="F987" s="30"/>
      <c r="G987" s="31"/>
      <c r="H987" s="32"/>
      <c r="I987" s="32"/>
      <c r="J987" s="37">
        <f>+J959</f>
        <v>0</v>
      </c>
      <c r="K987" s="53"/>
      <c r="L987" s="129">
        <f>J987*E987</f>
        <v>0</v>
      </c>
      <c r="M987" s="245" t="s">
        <v>17</v>
      </c>
    </row>
    <row r="988" spans="1:13">
      <c r="A988" s="35" t="s">
        <v>726</v>
      </c>
      <c r="B988" s="7" t="s">
        <v>727</v>
      </c>
      <c r="C988" s="26" t="s">
        <v>728</v>
      </c>
      <c r="D988" s="27" t="s">
        <v>140</v>
      </c>
      <c r="E988" s="249">
        <v>1</v>
      </c>
      <c r="F988" s="25"/>
      <c r="G988" s="28"/>
      <c r="H988" s="32"/>
      <c r="I988" s="32"/>
      <c r="J988" s="37">
        <v>300</v>
      </c>
      <c r="K988" s="73"/>
      <c r="L988" s="54">
        <f>+J988*E988</f>
        <v>300</v>
      </c>
      <c r="M988" s="245" t="s">
        <v>30</v>
      </c>
    </row>
    <row r="989" spans="1:13">
      <c r="A989" s="35" t="s">
        <v>726</v>
      </c>
      <c r="B989" s="7" t="s">
        <v>729</v>
      </c>
      <c r="C989" s="26" t="s">
        <v>730</v>
      </c>
      <c r="D989" s="27" t="s">
        <v>140</v>
      </c>
      <c r="E989" s="250">
        <v>1</v>
      </c>
      <c r="F989" s="25"/>
      <c r="G989" s="28"/>
      <c r="H989" s="32"/>
      <c r="I989" s="32"/>
      <c r="J989" s="37">
        <v>200</v>
      </c>
      <c r="K989" s="53"/>
      <c r="L989" s="129">
        <f>J989*E989</f>
        <v>200</v>
      </c>
      <c r="M989" s="245" t="s">
        <v>17</v>
      </c>
    </row>
    <row r="990" spans="1:13">
      <c r="A990" s="35" t="s">
        <v>726</v>
      </c>
      <c r="B990" s="7" t="s">
        <v>729</v>
      </c>
      <c r="C990" s="26" t="s">
        <v>730</v>
      </c>
      <c r="D990" s="27" t="s">
        <v>140</v>
      </c>
      <c r="E990" s="250">
        <v>1</v>
      </c>
      <c r="F990" s="32"/>
      <c r="G990" s="33"/>
      <c r="H990" s="32"/>
      <c r="I990" s="32"/>
      <c r="J990" s="37">
        <f>+J965</f>
        <v>0.76415094339622647</v>
      </c>
      <c r="K990" s="53"/>
      <c r="L990" s="129">
        <f>J990*E990</f>
        <v>0.76415094339622647</v>
      </c>
      <c r="M990" s="245" t="s">
        <v>17</v>
      </c>
    </row>
    <row r="991" spans="1:13">
      <c r="A991" s="35" t="s">
        <v>723</v>
      </c>
      <c r="B991" s="7" t="s">
        <v>729</v>
      </c>
      <c r="C991" s="26" t="s">
        <v>731</v>
      </c>
      <c r="D991" s="27" t="s">
        <v>140</v>
      </c>
      <c r="E991" s="249">
        <v>1</v>
      </c>
      <c r="F991" s="25"/>
      <c r="G991" s="28"/>
      <c r="H991" s="32"/>
      <c r="I991" s="32"/>
      <c r="J991" s="37">
        <v>200</v>
      </c>
      <c r="K991" s="73">
        <f>+J991*E991</f>
        <v>200</v>
      </c>
      <c r="L991" s="54">
        <f>+J991*E991</f>
        <v>200</v>
      </c>
      <c r="M991" s="245" t="s">
        <v>30</v>
      </c>
    </row>
    <row r="992" spans="1:13" ht="27.6">
      <c r="A992" s="35" t="s">
        <v>723</v>
      </c>
      <c r="B992" s="7" t="s">
        <v>732</v>
      </c>
      <c r="C992" s="26" t="s">
        <v>733</v>
      </c>
      <c r="D992" s="27" t="s">
        <v>140</v>
      </c>
      <c r="E992" s="250">
        <v>1</v>
      </c>
      <c r="F992" s="7"/>
      <c r="G992" s="92"/>
      <c r="H992" s="40"/>
      <c r="I992" s="40"/>
      <c r="J992" s="37">
        <v>300</v>
      </c>
      <c r="K992" s="76">
        <f>+J992*E992</f>
        <v>300</v>
      </c>
      <c r="L992" s="84">
        <f>+J992*E992</f>
        <v>300</v>
      </c>
      <c r="M992" s="245" t="s">
        <v>30</v>
      </c>
    </row>
    <row r="993" spans="1:13">
      <c r="A993" s="35" t="s">
        <v>734</v>
      </c>
      <c r="B993" s="7" t="s">
        <v>735</v>
      </c>
      <c r="C993" s="26" t="s">
        <v>736</v>
      </c>
      <c r="D993" s="27" t="s">
        <v>140</v>
      </c>
      <c r="E993" s="250">
        <v>1</v>
      </c>
      <c r="F993" s="25"/>
      <c r="G993" s="28"/>
      <c r="H993" s="32"/>
      <c r="I993" s="32"/>
      <c r="J993" s="37">
        <v>300</v>
      </c>
      <c r="K993" s="53"/>
      <c r="L993" s="129">
        <f>J993*E993</f>
        <v>300</v>
      </c>
      <c r="M993" s="245" t="s">
        <v>17</v>
      </c>
    </row>
    <row r="994" spans="1:13">
      <c r="A994" s="35" t="s">
        <v>734</v>
      </c>
      <c r="B994" s="7" t="s">
        <v>735</v>
      </c>
      <c r="C994" s="26" t="s">
        <v>736</v>
      </c>
      <c r="D994" s="27" t="s">
        <v>140</v>
      </c>
      <c r="E994" s="250">
        <v>1</v>
      </c>
      <c r="F994" s="32"/>
      <c r="G994" s="33"/>
      <c r="H994" s="32"/>
      <c r="I994" s="32"/>
      <c r="J994" s="37">
        <f>+J969</f>
        <v>0.76415094339622647</v>
      </c>
      <c r="K994" s="53"/>
      <c r="L994" s="129">
        <f>J994*E994</f>
        <v>0.76415094339622647</v>
      </c>
      <c r="M994" s="245" t="s">
        <v>17</v>
      </c>
    </row>
    <row r="995" spans="1:13" ht="27.6">
      <c r="A995" s="35" t="s">
        <v>734</v>
      </c>
      <c r="B995" s="7" t="s">
        <v>737</v>
      </c>
      <c r="C995" s="26" t="s">
        <v>738</v>
      </c>
      <c r="D995" s="27" t="s">
        <v>140</v>
      </c>
      <c r="E995" s="249">
        <v>1</v>
      </c>
      <c r="F995" s="25"/>
      <c r="G995" s="28"/>
      <c r="H995" s="32"/>
      <c r="I995" s="32"/>
      <c r="J995" s="37">
        <v>300</v>
      </c>
      <c r="K995" s="73"/>
      <c r="L995" s="54">
        <f>+J995*E995</f>
        <v>300</v>
      </c>
      <c r="M995" s="245" t="s">
        <v>30</v>
      </c>
    </row>
    <row r="996" spans="1:13" ht="27.6">
      <c r="A996" s="35" t="s">
        <v>734</v>
      </c>
      <c r="B996" s="7" t="s">
        <v>737</v>
      </c>
      <c r="C996" s="26" t="s">
        <v>738</v>
      </c>
      <c r="D996" s="27" t="s">
        <v>140</v>
      </c>
      <c r="E996" s="250">
        <v>1</v>
      </c>
      <c r="F996" s="7"/>
      <c r="G996" s="92"/>
      <c r="H996" s="40"/>
      <c r="I996" s="40"/>
      <c r="J996" s="37">
        <f>+J970</f>
        <v>0.76415094339622647</v>
      </c>
      <c r="K996" s="76">
        <f>+J996*E996</f>
        <v>0.76415094339622647</v>
      </c>
      <c r="L996" s="84">
        <f>+J996*E996</f>
        <v>0.76415094339622647</v>
      </c>
      <c r="M996" s="245" t="s">
        <v>30</v>
      </c>
    </row>
    <row r="997" spans="1:13" ht="15.6">
      <c r="A997" s="218" t="s">
        <v>726</v>
      </c>
      <c r="B997" s="27" t="s">
        <v>734</v>
      </c>
      <c r="C997" s="26" t="s">
        <v>739</v>
      </c>
      <c r="D997" s="27" t="s">
        <v>114</v>
      </c>
      <c r="E997" s="249">
        <f>2*1.8*3</f>
        <v>10.8</v>
      </c>
      <c r="F997" s="25"/>
      <c r="G997" s="28"/>
      <c r="H997" s="32"/>
      <c r="I997" s="32"/>
      <c r="J997" s="37">
        <f>50000/5300</f>
        <v>9.433962264150944</v>
      </c>
      <c r="K997" s="27"/>
      <c r="L997" s="37">
        <f>+J997*E997</f>
        <v>101.88679245283021</v>
      </c>
      <c r="M997" s="245" t="s">
        <v>30</v>
      </c>
    </row>
    <row r="998" spans="1:13" ht="27.6">
      <c r="A998" s="218" t="s">
        <v>734</v>
      </c>
      <c r="B998" s="218" t="s">
        <v>726</v>
      </c>
      <c r="C998" s="26" t="s">
        <v>740</v>
      </c>
      <c r="D998" s="27" t="s">
        <v>114</v>
      </c>
      <c r="E998" s="249">
        <f>(7.25*2+17.9+3)*2.8</f>
        <v>99.11999999999999</v>
      </c>
      <c r="F998" s="25"/>
      <c r="G998" s="28"/>
      <c r="H998" s="32"/>
      <c r="I998" s="32"/>
      <c r="J998" s="37">
        <f>50000/5300</f>
        <v>9.433962264150944</v>
      </c>
      <c r="K998" s="27"/>
      <c r="L998" s="37">
        <f>+J998*E998</f>
        <v>935.09433962264143</v>
      </c>
      <c r="M998" s="245" t="s">
        <v>30</v>
      </c>
    </row>
    <row r="999" spans="1:13" s="368" customFormat="1">
      <c r="A999" s="218" t="s">
        <v>726</v>
      </c>
      <c r="B999" s="218" t="s">
        <v>723</v>
      </c>
      <c r="C999" s="26" t="s">
        <v>741</v>
      </c>
      <c r="D999" s="27" t="s">
        <v>140</v>
      </c>
      <c r="E999" s="250">
        <v>1</v>
      </c>
      <c r="F999" s="7"/>
      <c r="G999" s="7"/>
      <c r="H999" s="32"/>
      <c r="I999" s="32"/>
      <c r="J999" s="37">
        <v>100</v>
      </c>
      <c r="K999" s="53"/>
      <c r="L999" s="141">
        <f>J999*E999</f>
        <v>100</v>
      </c>
      <c r="M999" s="245" t="s">
        <v>17</v>
      </c>
    </row>
    <row r="1000" spans="1:13">
      <c r="A1000" s="218" t="s">
        <v>723</v>
      </c>
      <c r="B1000" s="218" t="s">
        <v>723</v>
      </c>
      <c r="C1000" s="25" t="s">
        <v>742</v>
      </c>
      <c r="D1000" s="27" t="s">
        <v>346</v>
      </c>
      <c r="E1000" s="249">
        <v>3</v>
      </c>
      <c r="F1000" s="25"/>
      <c r="G1000" s="28"/>
      <c r="H1000" s="32"/>
      <c r="I1000" s="32"/>
      <c r="J1000" s="37">
        <v>3.7735849056603774</v>
      </c>
      <c r="K1000" s="27">
        <f>+J1000*E1000</f>
        <v>11.320754716981131</v>
      </c>
      <c r="L1000" s="37">
        <f t="shared" ref="L1000:L1006" si="155">+J1000*E1000</f>
        <v>11.320754716981131</v>
      </c>
      <c r="M1000" s="245" t="s">
        <v>30</v>
      </c>
    </row>
    <row r="1001" spans="1:13">
      <c r="A1001" s="218" t="s">
        <v>743</v>
      </c>
      <c r="B1001" s="218" t="s">
        <v>723</v>
      </c>
      <c r="C1001" s="26" t="s">
        <v>744</v>
      </c>
      <c r="D1001" s="27" t="s">
        <v>123</v>
      </c>
      <c r="E1001" s="249">
        <v>1</v>
      </c>
      <c r="F1001" s="25"/>
      <c r="G1001" s="28"/>
      <c r="H1001" s="32"/>
      <c r="I1001" s="32"/>
      <c r="J1001" s="37">
        <f>200000/5300</f>
        <v>37.735849056603776</v>
      </c>
      <c r="K1001" s="27"/>
      <c r="L1001" s="37">
        <f t="shared" si="155"/>
        <v>37.735849056603776</v>
      </c>
      <c r="M1001" s="245" t="s">
        <v>30</v>
      </c>
    </row>
    <row r="1002" spans="1:13" ht="27.6">
      <c r="A1002" s="218" t="s">
        <v>745</v>
      </c>
      <c r="B1002" s="218" t="s">
        <v>723</v>
      </c>
      <c r="C1002" s="26" t="s">
        <v>746</v>
      </c>
      <c r="D1002" s="27" t="s">
        <v>67</v>
      </c>
      <c r="E1002" s="249">
        <v>2.95</v>
      </c>
      <c r="F1002" s="23"/>
      <c r="G1002" s="24"/>
      <c r="H1002" s="32"/>
      <c r="I1002" s="32"/>
      <c r="J1002" s="37">
        <v>1.8867924528301887</v>
      </c>
      <c r="K1002" s="27"/>
      <c r="L1002" s="37">
        <f t="shared" si="155"/>
        <v>5.5660377358490569</v>
      </c>
      <c r="M1002" s="245" t="s">
        <v>30</v>
      </c>
    </row>
    <row r="1003" spans="1:13">
      <c r="A1003" s="218" t="s">
        <v>747</v>
      </c>
      <c r="B1003" s="35" t="s">
        <v>747</v>
      </c>
      <c r="C1003" s="25" t="s">
        <v>748</v>
      </c>
      <c r="D1003" s="27" t="s">
        <v>346</v>
      </c>
      <c r="E1003" s="249">
        <v>2</v>
      </c>
      <c r="F1003" s="25"/>
      <c r="G1003" s="28"/>
      <c r="H1003" s="32"/>
      <c r="I1003" s="32"/>
      <c r="J1003" s="37">
        <v>3.7735849056603774</v>
      </c>
      <c r="K1003" s="27">
        <f>+J1003*E1003</f>
        <v>7.5471698113207548</v>
      </c>
      <c r="L1003" s="37">
        <f t="shared" si="155"/>
        <v>7.5471698113207548</v>
      </c>
      <c r="M1003" s="245" t="s">
        <v>30</v>
      </c>
    </row>
    <row r="1004" spans="1:13">
      <c r="A1004" s="35" t="s">
        <v>747</v>
      </c>
      <c r="B1004" s="35" t="s">
        <v>747</v>
      </c>
      <c r="C1004" s="25" t="s">
        <v>748</v>
      </c>
      <c r="D1004" s="27" t="s">
        <v>140</v>
      </c>
      <c r="E1004" s="249">
        <v>1</v>
      </c>
      <c r="F1004" s="25"/>
      <c r="G1004" s="28"/>
      <c r="H1004" s="32"/>
      <c r="I1004" s="32"/>
      <c r="J1004" s="37">
        <f>+J926</f>
        <v>2.2641509433962264</v>
      </c>
      <c r="K1004" s="73">
        <f>+J1004*E1004</f>
        <v>2.2641509433962264</v>
      </c>
      <c r="L1004" s="54">
        <f t="shared" si="155"/>
        <v>2.2641509433962264</v>
      </c>
      <c r="M1004" s="245" t="s">
        <v>30</v>
      </c>
    </row>
    <row r="1005" spans="1:13">
      <c r="A1005" s="35" t="s">
        <v>747</v>
      </c>
      <c r="B1005" s="7" t="s">
        <v>747</v>
      </c>
      <c r="C1005" s="25" t="s">
        <v>748</v>
      </c>
      <c r="D1005" s="27" t="s">
        <v>140</v>
      </c>
      <c r="E1005" s="250">
        <v>1</v>
      </c>
      <c r="F1005" s="7"/>
      <c r="G1005" s="92"/>
      <c r="H1005" s="40"/>
      <c r="I1005" s="40"/>
      <c r="J1005" s="37">
        <f>+J977</f>
        <v>22.64</v>
      </c>
      <c r="K1005" s="76">
        <f>+J1005*E1005</f>
        <v>22.64</v>
      </c>
      <c r="L1005" s="84">
        <f t="shared" si="155"/>
        <v>22.64</v>
      </c>
      <c r="M1005" s="245" t="s">
        <v>30</v>
      </c>
    </row>
    <row r="1006" spans="1:13" ht="15.6">
      <c r="A1006" s="218" t="s">
        <v>749</v>
      </c>
      <c r="B1006" s="7" t="s">
        <v>743</v>
      </c>
      <c r="C1006" s="26" t="s">
        <v>750</v>
      </c>
      <c r="D1006" s="27" t="s">
        <v>114</v>
      </c>
      <c r="E1006" s="249">
        <f>252.47+24.47</f>
        <v>276.94</v>
      </c>
      <c r="F1006" s="23"/>
      <c r="G1006" s="24"/>
      <c r="H1006" s="32"/>
      <c r="I1006" s="32"/>
      <c r="J1006" s="37">
        <v>1.8867924528301887</v>
      </c>
      <c r="K1006" s="27">
        <f>+J1006*E1006</f>
        <v>522.52830188679241</v>
      </c>
      <c r="L1006" s="37">
        <f t="shared" si="155"/>
        <v>522.52830188679241</v>
      </c>
      <c r="M1006" s="245" t="s">
        <v>30</v>
      </c>
    </row>
    <row r="1007" spans="1:13" ht="27.6">
      <c r="A1007" s="218" t="s">
        <v>734</v>
      </c>
      <c r="B1007" s="7" t="s">
        <v>745</v>
      </c>
      <c r="C1007" s="26" t="s">
        <v>751</v>
      </c>
      <c r="D1007" s="27" t="s">
        <v>386</v>
      </c>
      <c r="E1007" s="250">
        <v>86.73</v>
      </c>
      <c r="F1007" s="7"/>
      <c r="G1007" s="7"/>
      <c r="H1007" s="32"/>
      <c r="I1007" s="32"/>
      <c r="J1007" s="37">
        <f>100000/5300</f>
        <v>18.867924528301888</v>
      </c>
      <c r="K1007" s="53"/>
      <c r="L1007" s="141">
        <f>J1007*E1007</f>
        <v>1636.4150943396228</v>
      </c>
      <c r="M1007" s="245" t="s">
        <v>17</v>
      </c>
    </row>
    <row r="1008" spans="1:13" ht="15.6">
      <c r="A1008" s="218" t="s">
        <v>752</v>
      </c>
      <c r="B1008" s="7" t="s">
        <v>752</v>
      </c>
      <c r="C1008" s="29" t="s">
        <v>753</v>
      </c>
      <c r="D1008" s="27" t="s">
        <v>114</v>
      </c>
      <c r="E1008" s="249">
        <f>439.15</f>
        <v>439.15</v>
      </c>
      <c r="F1008" s="23"/>
      <c r="G1008" s="24"/>
      <c r="H1008" s="32"/>
      <c r="I1008" s="32"/>
      <c r="J1008" s="37">
        <v>5.6603773584905657</v>
      </c>
      <c r="K1008" s="27">
        <f>+J1008*E1008</f>
        <v>2485.7547169811319</v>
      </c>
      <c r="L1008" s="37">
        <f>+J1008*E1008</f>
        <v>2485.7547169811319</v>
      </c>
      <c r="M1008" s="245" t="s">
        <v>30</v>
      </c>
    </row>
    <row r="1009" spans="1:13" ht="15.6">
      <c r="A1009" s="35" t="s">
        <v>743</v>
      </c>
      <c r="B1009" s="7" t="s">
        <v>749</v>
      </c>
      <c r="C1009" s="25" t="s">
        <v>754</v>
      </c>
      <c r="D1009" s="27" t="s">
        <v>114</v>
      </c>
      <c r="E1009" s="249">
        <f>103.8</f>
        <v>103.8</v>
      </c>
      <c r="F1009" s="25"/>
      <c r="G1009" s="28"/>
      <c r="H1009" s="32"/>
      <c r="I1009" s="32"/>
      <c r="J1009" s="37">
        <v>1</v>
      </c>
      <c r="K1009" s="73"/>
      <c r="L1009" s="54">
        <f>+J1009*E1009</f>
        <v>103.8</v>
      </c>
      <c r="M1009" s="245" t="s">
        <v>30</v>
      </c>
    </row>
    <row r="1010" spans="1:13">
      <c r="A1010" s="94"/>
      <c r="B1010" s="13" t="s">
        <v>755</v>
      </c>
      <c r="C1010" s="72" t="s">
        <v>756</v>
      </c>
      <c r="D1010" s="223"/>
      <c r="E1010" s="226"/>
      <c r="F1010" s="235"/>
      <c r="G1010" s="2">
        <f t="shared" ref="G1010:G1019" si="156">F1010*E1010</f>
        <v>0</v>
      </c>
      <c r="H1010" s="51">
        <f t="shared" ref="H1010:H1018" si="157">+F1010*0.15</f>
        <v>0</v>
      </c>
      <c r="I1010" s="51">
        <f t="shared" ref="I1010:I1019" si="158">+F1010*0.2</f>
        <v>0</v>
      </c>
      <c r="J1010" s="84"/>
      <c r="K1010" s="84"/>
      <c r="L1010" s="219"/>
      <c r="M1010" s="245" t="s">
        <v>23</v>
      </c>
    </row>
    <row r="1011" spans="1:13">
      <c r="A1011" s="94"/>
      <c r="B1011" s="13" t="s">
        <v>755</v>
      </c>
      <c r="C1011" s="6" t="s">
        <v>756</v>
      </c>
      <c r="D1011" s="223"/>
      <c r="E1011" s="226"/>
      <c r="F1011" s="223"/>
      <c r="G1011" s="2">
        <f t="shared" si="156"/>
        <v>0</v>
      </c>
      <c r="H1011" s="238">
        <f t="shared" si="157"/>
        <v>0</v>
      </c>
      <c r="I1011" s="51">
        <f t="shared" si="158"/>
        <v>0</v>
      </c>
      <c r="J1011" s="128">
        <f>+(F1011+H1011+I1011)/5300</f>
        <v>0</v>
      </c>
      <c r="K1011" s="53">
        <f>+J1011*E1011</f>
        <v>0</v>
      </c>
      <c r="L1011" s="52">
        <f>E1011*J1011</f>
        <v>0</v>
      </c>
      <c r="M1011" s="245" t="s">
        <v>15</v>
      </c>
    </row>
    <row r="1012" spans="1:13">
      <c r="A1012" s="1">
        <v>4</v>
      </c>
      <c r="B1012" s="12" t="s">
        <v>757</v>
      </c>
      <c r="C1012" s="26" t="s">
        <v>758</v>
      </c>
      <c r="D1012" s="26" t="s">
        <v>759</v>
      </c>
      <c r="E1012" s="226">
        <v>8.5000000000000006E-2</v>
      </c>
      <c r="F1012" s="223">
        <v>800000</v>
      </c>
      <c r="G1012" s="2">
        <f t="shared" si="156"/>
        <v>68000</v>
      </c>
      <c r="H1012" s="51">
        <f t="shared" si="157"/>
        <v>120000</v>
      </c>
      <c r="I1012" s="51">
        <f t="shared" si="158"/>
        <v>160000</v>
      </c>
      <c r="J1012" s="52">
        <f>+(I1012+H1012+F1012)/5300</f>
        <v>203.77358490566039</v>
      </c>
      <c r="K1012" s="52">
        <f>+J1012*E1012</f>
        <v>17.320754716981135</v>
      </c>
      <c r="L1012" s="219"/>
      <c r="M1012" s="245" t="s">
        <v>89</v>
      </c>
    </row>
    <row r="1013" spans="1:13">
      <c r="A1013" s="94" t="s">
        <v>760</v>
      </c>
      <c r="B1013" s="12" t="s">
        <v>757</v>
      </c>
      <c r="C1013" s="26" t="s">
        <v>758</v>
      </c>
      <c r="D1013" s="104" t="s">
        <v>759</v>
      </c>
      <c r="E1013" s="226">
        <v>0.9</v>
      </c>
      <c r="F1013" s="223">
        <v>800000</v>
      </c>
      <c r="G1013" s="2">
        <f t="shared" si="156"/>
        <v>720000</v>
      </c>
      <c r="H1013" s="238">
        <f t="shared" si="157"/>
        <v>120000</v>
      </c>
      <c r="I1013" s="51">
        <f t="shared" si="158"/>
        <v>160000</v>
      </c>
      <c r="J1013" s="52">
        <f>+(H1013+I1013+F1013)/5300</f>
        <v>203.77358490566039</v>
      </c>
      <c r="K1013" s="53">
        <f>+J1013*E1013</f>
        <v>183.39622641509436</v>
      </c>
      <c r="L1013" s="52">
        <f>J1013*E1013</f>
        <v>183.39622641509436</v>
      </c>
      <c r="M1013" s="245" t="s">
        <v>93</v>
      </c>
    </row>
    <row r="1014" spans="1:13">
      <c r="A1014" s="94" t="s">
        <v>761</v>
      </c>
      <c r="B1014" s="12" t="s">
        <v>757</v>
      </c>
      <c r="C1014" s="207" t="s">
        <v>758</v>
      </c>
      <c r="D1014" s="207" t="s">
        <v>759</v>
      </c>
      <c r="E1014" s="227">
        <v>0.4</v>
      </c>
      <c r="F1014" s="236">
        <v>800000</v>
      </c>
      <c r="G1014" s="236">
        <f t="shared" si="156"/>
        <v>320000</v>
      </c>
      <c r="H1014" s="239">
        <f t="shared" si="157"/>
        <v>120000</v>
      </c>
      <c r="I1014" s="206">
        <f t="shared" si="158"/>
        <v>160000</v>
      </c>
      <c r="J1014" s="84">
        <f>+(F1014+H1014+I1014)/5300</f>
        <v>203.77358490566039</v>
      </c>
      <c r="K1014" s="241">
        <f>E1014*J1014</f>
        <v>81.509433962264154</v>
      </c>
      <c r="L1014" s="219"/>
      <c r="M1014" s="245" t="s">
        <v>20</v>
      </c>
    </row>
    <row r="1015" spans="1:13">
      <c r="A1015" s="94" t="s">
        <v>761</v>
      </c>
      <c r="B1015" s="12" t="s">
        <v>757</v>
      </c>
      <c r="C1015" s="26" t="s">
        <v>758</v>
      </c>
      <c r="D1015" s="26" t="s">
        <v>759</v>
      </c>
      <c r="E1015" s="226">
        <v>0.35499999999999998</v>
      </c>
      <c r="F1015" s="235">
        <v>800000</v>
      </c>
      <c r="G1015" s="2">
        <f t="shared" si="156"/>
        <v>284000</v>
      </c>
      <c r="H1015" s="51">
        <f t="shared" si="157"/>
        <v>120000</v>
      </c>
      <c r="I1015" s="51">
        <f t="shared" si="158"/>
        <v>160000</v>
      </c>
      <c r="J1015" s="84">
        <f>+(I1015+H1015+F1015)/5300</f>
        <v>203.77358490566039</v>
      </c>
      <c r="K1015" s="84">
        <f>J1015*E1015</f>
        <v>72.339622641509436</v>
      </c>
      <c r="L1015" s="219"/>
      <c r="M1015" s="245" t="s">
        <v>23</v>
      </c>
    </row>
    <row r="1016" spans="1:13">
      <c r="A1016" s="94" t="s">
        <v>761</v>
      </c>
      <c r="B1016" s="12" t="s">
        <v>757</v>
      </c>
      <c r="C1016" s="26" t="s">
        <v>758</v>
      </c>
      <c r="D1016" s="26" t="s">
        <v>759</v>
      </c>
      <c r="E1016" s="226">
        <v>0.16200000000000001</v>
      </c>
      <c r="F1016" s="223">
        <v>800000</v>
      </c>
      <c r="G1016" s="2">
        <f t="shared" si="156"/>
        <v>129600</v>
      </c>
      <c r="H1016" s="238">
        <f t="shared" si="157"/>
        <v>120000</v>
      </c>
      <c r="I1016" s="51">
        <f t="shared" si="158"/>
        <v>160000</v>
      </c>
      <c r="J1016" s="128">
        <f>+(F1016+H1016+I1016)/5300</f>
        <v>203.77358490566039</v>
      </c>
      <c r="K1016" s="53">
        <f>+J1016*E1016</f>
        <v>33.011320754716984</v>
      </c>
      <c r="L1016" s="52">
        <f>E1016*J1016</f>
        <v>33.011320754716984</v>
      </c>
      <c r="M1016" s="245" t="s">
        <v>15</v>
      </c>
    </row>
    <row r="1017" spans="1:13">
      <c r="A1017" s="299" t="s">
        <v>762</v>
      </c>
      <c r="B1017" s="12" t="s">
        <v>763</v>
      </c>
      <c r="C1017" s="26" t="s">
        <v>764</v>
      </c>
      <c r="D1017" s="26" t="s">
        <v>67</v>
      </c>
      <c r="E1017" s="226">
        <v>153</v>
      </c>
      <c r="F1017" s="267">
        <v>45000</v>
      </c>
      <c r="G1017" s="2">
        <f t="shared" si="156"/>
        <v>6885000</v>
      </c>
      <c r="H1017" s="238">
        <f t="shared" si="157"/>
        <v>6750</v>
      </c>
      <c r="I1017" s="51">
        <f t="shared" si="158"/>
        <v>9000</v>
      </c>
      <c r="J1017" s="240">
        <f>+(F1017+H1017+I1017)/5300</f>
        <v>11.462264150943396</v>
      </c>
      <c r="K1017" s="51">
        <f>+J1017*E1017</f>
        <v>1753.7264150943395</v>
      </c>
      <c r="L1017" s="240">
        <f>+J1017*E1017</f>
        <v>1753.7264150943395</v>
      </c>
      <c r="M1017" s="245" t="s">
        <v>117</v>
      </c>
    </row>
    <row r="1018" spans="1:13">
      <c r="A1018" s="94" t="s">
        <v>765</v>
      </c>
      <c r="B1018" s="12" t="s">
        <v>763</v>
      </c>
      <c r="C1018" s="26" t="s">
        <v>766</v>
      </c>
      <c r="D1018" s="26" t="s">
        <v>67</v>
      </c>
      <c r="E1018" s="226">
        <v>329</v>
      </c>
      <c r="F1018" s="307">
        <v>45000</v>
      </c>
      <c r="G1018" s="2">
        <f t="shared" si="156"/>
        <v>14805000</v>
      </c>
      <c r="H1018" s="51">
        <f t="shared" si="157"/>
        <v>6750</v>
      </c>
      <c r="I1018" s="51">
        <f t="shared" si="158"/>
        <v>9000</v>
      </c>
      <c r="J1018" s="84">
        <f>+(I1018+H1018+F1018)/5300</f>
        <v>11.462264150943396</v>
      </c>
      <c r="K1018" s="84">
        <f>J1018*E1018</f>
        <v>3771.084905660377</v>
      </c>
      <c r="L1018" s="219"/>
      <c r="M1018" s="245" t="s">
        <v>23</v>
      </c>
    </row>
    <row r="1019" spans="1:13">
      <c r="A1019" s="302">
        <v>3002</v>
      </c>
      <c r="B1019" s="12" t="s">
        <v>767</v>
      </c>
      <c r="C1019" s="26" t="s">
        <v>768</v>
      </c>
      <c r="D1019" s="55" t="s">
        <v>3</v>
      </c>
      <c r="E1019" s="49">
        <v>4</v>
      </c>
      <c r="F1019" s="153">
        <v>350000</v>
      </c>
      <c r="G1019" s="9">
        <f t="shared" si="156"/>
        <v>1400000</v>
      </c>
      <c r="H1019" s="51"/>
      <c r="I1019" s="51">
        <f t="shared" si="158"/>
        <v>70000</v>
      </c>
      <c r="J1019" s="128">
        <f>+(F1019+H1019+I1019)/5300</f>
        <v>79.245283018867923</v>
      </c>
      <c r="K1019" s="53">
        <f>+J1019*E1019</f>
        <v>316.98113207547169</v>
      </c>
      <c r="L1019" s="52">
        <f>J1019*E1019</f>
        <v>316.98113207547169</v>
      </c>
      <c r="M1019" s="245" t="s">
        <v>17</v>
      </c>
    </row>
    <row r="1020" spans="1:13">
      <c r="A1020" s="322" t="s">
        <v>715</v>
      </c>
      <c r="B1020" s="259" t="s">
        <v>769</v>
      </c>
      <c r="C1020" s="260" t="s">
        <v>716</v>
      </c>
      <c r="D1020" s="259"/>
      <c r="E1020" s="261"/>
      <c r="F1020" s="109"/>
      <c r="G1020" s="288"/>
      <c r="H1020" s="289"/>
      <c r="I1020" s="289"/>
      <c r="J1020" s="257"/>
      <c r="K1020" s="323"/>
      <c r="L1020" s="324" t="s">
        <v>28</v>
      </c>
      <c r="M1020" s="292" t="s">
        <v>30</v>
      </c>
    </row>
    <row r="1021" spans="1:13">
      <c r="A1021" s="322" t="s">
        <v>715</v>
      </c>
      <c r="B1021" s="259" t="s">
        <v>769</v>
      </c>
      <c r="C1021" s="260" t="s">
        <v>716</v>
      </c>
      <c r="D1021" s="259"/>
      <c r="E1021" s="261"/>
      <c r="F1021" s="109"/>
      <c r="G1021" s="288"/>
      <c r="H1021" s="289"/>
      <c r="I1021" s="289"/>
      <c r="J1021" s="257"/>
      <c r="K1021" s="325"/>
      <c r="L1021" s="326"/>
      <c r="M1021" s="292" t="s">
        <v>30</v>
      </c>
    </row>
    <row r="1022" spans="1:13">
      <c r="A1022" s="327" t="s">
        <v>715</v>
      </c>
      <c r="B1022" s="259" t="s">
        <v>769</v>
      </c>
      <c r="C1022" s="260" t="s">
        <v>716</v>
      </c>
      <c r="D1022" s="262"/>
      <c r="E1022" s="263"/>
      <c r="F1022" s="109"/>
      <c r="G1022" s="288"/>
      <c r="H1022" s="289"/>
      <c r="I1022" s="289"/>
      <c r="J1022" s="257"/>
      <c r="K1022" s="328"/>
      <c r="L1022" s="329" t="s">
        <v>28</v>
      </c>
      <c r="M1022" s="292" t="s">
        <v>17</v>
      </c>
    </row>
    <row r="1023" spans="1:13">
      <c r="A1023" s="322" t="s">
        <v>715</v>
      </c>
      <c r="B1023" s="259" t="s">
        <v>769</v>
      </c>
      <c r="C1023" s="260" t="s">
        <v>716</v>
      </c>
      <c r="D1023" s="262"/>
      <c r="E1023" s="263"/>
      <c r="F1023" s="109"/>
      <c r="G1023" s="288"/>
      <c r="H1023" s="289"/>
      <c r="I1023" s="289"/>
      <c r="J1023" s="257"/>
      <c r="K1023" s="328"/>
      <c r="L1023" s="329" t="s">
        <v>28</v>
      </c>
      <c r="M1023" s="292" t="s">
        <v>17</v>
      </c>
    </row>
    <row r="1024" spans="1:13">
      <c r="A1024" s="322" t="s">
        <v>715</v>
      </c>
      <c r="B1024" s="259" t="s">
        <v>769</v>
      </c>
      <c r="C1024" s="260" t="s">
        <v>716</v>
      </c>
      <c r="D1024" s="262"/>
      <c r="E1024" s="263"/>
      <c r="F1024" s="109"/>
      <c r="G1024" s="288"/>
      <c r="H1024" s="289"/>
      <c r="I1024" s="289"/>
      <c r="J1024" s="257"/>
      <c r="K1024" s="328"/>
      <c r="L1024" s="329" t="s">
        <v>28</v>
      </c>
      <c r="M1024" s="292" t="s">
        <v>17</v>
      </c>
    </row>
    <row r="1025" spans="1:13">
      <c r="A1025" s="322" t="s">
        <v>715</v>
      </c>
      <c r="B1025" s="259" t="s">
        <v>769</v>
      </c>
      <c r="C1025" s="260" t="s">
        <v>716</v>
      </c>
      <c r="D1025" s="262"/>
      <c r="E1025" s="263"/>
      <c r="F1025" s="110"/>
      <c r="G1025" s="330"/>
      <c r="H1025" s="289"/>
      <c r="I1025" s="289"/>
      <c r="J1025" s="257"/>
      <c r="K1025" s="328"/>
      <c r="L1025" s="329" t="s">
        <v>28</v>
      </c>
      <c r="M1025" s="292" t="s">
        <v>17</v>
      </c>
    </row>
    <row r="1026" spans="1:13">
      <c r="A1026" s="218">
        <v>1</v>
      </c>
      <c r="B1026" s="27" t="s">
        <v>770</v>
      </c>
      <c r="C1026" s="26" t="s">
        <v>771</v>
      </c>
      <c r="D1026" s="55" t="s">
        <v>123</v>
      </c>
      <c r="E1026" s="66">
        <v>1</v>
      </c>
      <c r="F1026" s="25">
        <v>80.150000000000006</v>
      </c>
      <c r="G1026" s="25">
        <f>F1026*E1026</f>
        <v>80.150000000000006</v>
      </c>
      <c r="H1026" s="238">
        <f>+F1026*E1026</f>
        <v>80.150000000000006</v>
      </c>
      <c r="I1026" s="51"/>
      <c r="J1026" s="52">
        <v>80.150000000000006</v>
      </c>
      <c r="K1026" s="53">
        <f>J1026*I1026</f>
        <v>0</v>
      </c>
      <c r="L1026" s="52">
        <f>+J1026*E1026</f>
        <v>80.150000000000006</v>
      </c>
      <c r="M1026" s="245" t="s">
        <v>93</v>
      </c>
    </row>
    <row r="1027" spans="1:13">
      <c r="A1027" s="218">
        <v>1</v>
      </c>
      <c r="B1027" s="27" t="s">
        <v>772</v>
      </c>
      <c r="C1027" s="29" t="s">
        <v>771</v>
      </c>
      <c r="D1027" s="32" t="s">
        <v>123</v>
      </c>
      <c r="E1027" s="229">
        <v>1</v>
      </c>
      <c r="F1027" s="32">
        <f>80.15*8000/5300</f>
        <v>120.98113207547169</v>
      </c>
      <c r="G1027" s="32">
        <f>F1027*E1027</f>
        <v>120.98113207547169</v>
      </c>
      <c r="H1027" s="238">
        <f>+F1027*E1027</f>
        <v>120.98113207547169</v>
      </c>
      <c r="I1027" s="25"/>
      <c r="J1027" s="86">
        <f>80.15*8000/5300</f>
        <v>120.98113207547169</v>
      </c>
      <c r="K1027" s="32">
        <f>J1027*I1027</f>
        <v>0</v>
      </c>
      <c r="L1027" s="52">
        <f>+J1027*E1027</f>
        <v>120.98113207547169</v>
      </c>
      <c r="M1027" s="245" t="s">
        <v>15</v>
      </c>
    </row>
    <row r="1028" spans="1:13">
      <c r="A1028" s="280">
        <v>1</v>
      </c>
      <c r="B1028" s="13" t="s">
        <v>773</v>
      </c>
      <c r="C1028" s="152" t="s">
        <v>774</v>
      </c>
      <c r="D1028" s="343"/>
      <c r="E1028" s="344"/>
      <c r="F1028" s="146" t="s">
        <v>775</v>
      </c>
      <c r="G1028" s="147" t="s">
        <v>775</v>
      </c>
      <c r="H1028" s="345"/>
      <c r="I1028" s="346"/>
      <c r="J1028" s="347"/>
      <c r="K1028" s="348"/>
      <c r="L1028" s="349"/>
      <c r="M1028" s="339" t="s">
        <v>20</v>
      </c>
    </row>
    <row r="1029" spans="1:13">
      <c r="A1029" s="281">
        <v>1</v>
      </c>
      <c r="B1029" s="13" t="s">
        <v>773</v>
      </c>
      <c r="C1029" s="156" t="s">
        <v>774</v>
      </c>
      <c r="D1029" s="112"/>
      <c r="E1029" s="232"/>
      <c r="F1029" s="6" t="s">
        <v>775</v>
      </c>
      <c r="G1029" s="46" t="s">
        <v>775</v>
      </c>
      <c r="H1029" s="60"/>
      <c r="I1029" s="60"/>
      <c r="J1029" s="61"/>
      <c r="K1029" s="61"/>
      <c r="L1029" s="349"/>
      <c r="M1029" s="339" t="s">
        <v>89</v>
      </c>
    </row>
    <row r="1030" spans="1:13">
      <c r="A1030" s="280">
        <v>1</v>
      </c>
      <c r="B1030" s="13" t="s">
        <v>773</v>
      </c>
      <c r="C1030" s="156" t="s">
        <v>774</v>
      </c>
      <c r="D1030" s="112"/>
      <c r="E1030" s="232"/>
      <c r="F1030" s="6" t="s">
        <v>775</v>
      </c>
      <c r="G1030" s="46" t="s">
        <v>775</v>
      </c>
      <c r="H1030" s="338"/>
      <c r="I1030" s="60"/>
      <c r="J1030" s="63"/>
      <c r="K1030" s="60"/>
      <c r="L1030" s="63"/>
      <c r="M1030" s="339" t="s">
        <v>117</v>
      </c>
    </row>
    <row r="1031" spans="1:13">
      <c r="A1031" s="281">
        <v>1</v>
      </c>
      <c r="B1031" s="13" t="s">
        <v>773</v>
      </c>
      <c r="C1031" s="156" t="s">
        <v>774</v>
      </c>
      <c r="D1031" s="112"/>
      <c r="E1031" s="112"/>
      <c r="F1031" s="6" t="s">
        <v>775</v>
      </c>
      <c r="G1031" s="46" t="s">
        <v>775</v>
      </c>
      <c r="H1031" s="338"/>
      <c r="I1031" s="60"/>
      <c r="J1031" s="61"/>
      <c r="K1031" s="47"/>
      <c r="L1031" s="61"/>
      <c r="M1031" s="339" t="s">
        <v>118</v>
      </c>
    </row>
    <row r="1032" spans="1:13">
      <c r="A1032" s="280">
        <v>1</v>
      </c>
      <c r="B1032" s="13" t="s">
        <v>773</v>
      </c>
      <c r="C1032" s="156" t="s">
        <v>774</v>
      </c>
      <c r="D1032" s="112"/>
      <c r="E1032" s="350"/>
      <c r="F1032" s="332" t="s">
        <v>775</v>
      </c>
      <c r="G1032" s="333" t="s">
        <v>775</v>
      </c>
      <c r="H1032" s="60"/>
      <c r="I1032" s="60"/>
      <c r="J1032" s="347"/>
      <c r="K1032" s="61"/>
      <c r="L1032" s="349"/>
      <c r="M1032" s="339" t="s">
        <v>23</v>
      </c>
    </row>
    <row r="1033" spans="1:13">
      <c r="A1033" s="151">
        <v>1</v>
      </c>
      <c r="B1033" s="13" t="s">
        <v>773</v>
      </c>
      <c r="C1033" s="156" t="s">
        <v>774</v>
      </c>
      <c r="D1033" s="58"/>
      <c r="E1033" s="57"/>
      <c r="F1033" s="23" t="s">
        <v>775</v>
      </c>
      <c r="G1033" s="50" t="s">
        <v>775</v>
      </c>
      <c r="H1033" s="60"/>
      <c r="I1033" s="60"/>
      <c r="J1033" s="61"/>
      <c r="K1033" s="47"/>
      <c r="L1033" s="62"/>
      <c r="M1033" s="339" t="s">
        <v>30</v>
      </c>
    </row>
    <row r="1034" spans="1:13">
      <c r="A1034" s="280">
        <v>1</v>
      </c>
      <c r="B1034" s="13" t="s">
        <v>773</v>
      </c>
      <c r="C1034" s="156" t="s">
        <v>774</v>
      </c>
      <c r="D1034" s="156"/>
      <c r="E1034" s="232"/>
      <c r="F1034" s="6" t="s">
        <v>775</v>
      </c>
      <c r="G1034" s="46" t="s">
        <v>775</v>
      </c>
      <c r="H1034" s="338"/>
      <c r="I1034" s="60"/>
      <c r="J1034" s="61"/>
      <c r="K1034" s="47"/>
      <c r="L1034" s="61"/>
      <c r="M1034" s="339" t="s">
        <v>93</v>
      </c>
    </row>
    <row r="1035" spans="1:13">
      <c r="A1035" s="280">
        <v>1</v>
      </c>
      <c r="B1035" s="13" t="s">
        <v>773</v>
      </c>
      <c r="C1035" s="156" t="s">
        <v>774</v>
      </c>
      <c r="D1035" s="112"/>
      <c r="E1035" s="232"/>
      <c r="F1035" s="6" t="s">
        <v>775</v>
      </c>
      <c r="G1035" s="46" t="s">
        <v>775</v>
      </c>
      <c r="H1035" s="338"/>
      <c r="I1035" s="60"/>
      <c r="J1035" s="61"/>
      <c r="K1035" s="61"/>
      <c r="L1035" s="349"/>
      <c r="M1035" s="339" t="s">
        <v>87</v>
      </c>
    </row>
    <row r="1036" spans="1:13">
      <c r="A1036" s="280">
        <v>1</v>
      </c>
      <c r="B1036" s="13" t="s">
        <v>773</v>
      </c>
      <c r="C1036" s="156" t="s">
        <v>774</v>
      </c>
      <c r="D1036" s="112"/>
      <c r="E1036" s="232"/>
      <c r="F1036" s="6" t="s">
        <v>775</v>
      </c>
      <c r="G1036" s="46" t="s">
        <v>775</v>
      </c>
      <c r="H1036" s="338"/>
      <c r="I1036" s="60" t="s">
        <v>776</v>
      </c>
      <c r="J1036" s="351"/>
      <c r="K1036" s="47"/>
      <c r="L1036" s="61"/>
      <c r="M1036" s="339" t="s">
        <v>15</v>
      </c>
    </row>
    <row r="1037" spans="1:13">
      <c r="A1037" s="94" t="s">
        <v>777</v>
      </c>
      <c r="B1037" s="95" t="s">
        <v>778</v>
      </c>
      <c r="C1037" s="207" t="s">
        <v>779</v>
      </c>
      <c r="D1037" s="207" t="s">
        <v>123</v>
      </c>
      <c r="E1037" s="227">
        <v>1</v>
      </c>
      <c r="F1037" s="227">
        <v>50000</v>
      </c>
      <c r="G1037" s="212">
        <f t="shared" ref="G1037:G1068" si="159">F1037*E1037</f>
        <v>50000</v>
      </c>
      <c r="H1037" s="239">
        <f t="shared" ref="H1037:H1068" si="160">+F1037*0.15</f>
        <v>7500</v>
      </c>
      <c r="I1037" s="206">
        <f>+F1037*0.2</f>
        <v>10000</v>
      </c>
      <c r="J1037" s="84">
        <f>+(F1037+H1037+I1037)/5300</f>
        <v>12.735849056603774</v>
      </c>
      <c r="K1037" s="241">
        <f>+J1037*E1037</f>
        <v>12.735849056603774</v>
      </c>
      <c r="L1037" s="219"/>
      <c r="M1037" s="245" t="s">
        <v>20</v>
      </c>
    </row>
    <row r="1038" spans="1:13">
      <c r="A1038" s="1" t="s">
        <v>777</v>
      </c>
      <c r="B1038" s="95" t="s">
        <v>778</v>
      </c>
      <c r="C1038" s="26" t="s">
        <v>779</v>
      </c>
      <c r="D1038" s="26" t="s">
        <v>123</v>
      </c>
      <c r="E1038" s="331">
        <v>1</v>
      </c>
      <c r="F1038" s="223">
        <v>50000</v>
      </c>
      <c r="G1038" s="334">
        <f t="shared" si="159"/>
        <v>50000</v>
      </c>
      <c r="H1038" s="51">
        <f t="shared" si="160"/>
        <v>7500</v>
      </c>
      <c r="I1038" s="51">
        <f>+F1038*0.15</f>
        <v>7500</v>
      </c>
      <c r="J1038" s="52">
        <f>+(I1038+H1038+F1038)/5300</f>
        <v>12.264150943396226</v>
      </c>
      <c r="K1038" s="52">
        <f>+J1038*E1038</f>
        <v>12.264150943396226</v>
      </c>
      <c r="L1038" s="219"/>
      <c r="M1038" s="245" t="s">
        <v>89</v>
      </c>
    </row>
    <row r="1039" spans="1:13">
      <c r="A1039" s="94" t="s">
        <v>777</v>
      </c>
      <c r="B1039" s="95" t="s">
        <v>778</v>
      </c>
      <c r="C1039" s="26" t="s">
        <v>779</v>
      </c>
      <c r="D1039" s="104" t="s">
        <v>123</v>
      </c>
      <c r="E1039" s="226">
        <v>1</v>
      </c>
      <c r="F1039" s="223">
        <v>60000</v>
      </c>
      <c r="G1039" s="2">
        <f t="shared" si="159"/>
        <v>60000</v>
      </c>
      <c r="H1039" s="238">
        <f t="shared" si="160"/>
        <v>9000</v>
      </c>
      <c r="I1039" s="51">
        <f t="shared" ref="I1039:I1047" si="161">+F1039*0.2</f>
        <v>12000</v>
      </c>
      <c r="J1039" s="240">
        <f>+(F1039+H1039+I1039)/5300</f>
        <v>15.283018867924529</v>
      </c>
      <c r="K1039" s="51">
        <f>+J1039*E1039</f>
        <v>15.283018867924529</v>
      </c>
      <c r="L1039" s="240">
        <f>+J1039*E1039</f>
        <v>15.283018867924529</v>
      </c>
      <c r="M1039" s="245" t="s">
        <v>117</v>
      </c>
    </row>
    <row r="1040" spans="1:13">
      <c r="A1040" s="1" t="s">
        <v>777</v>
      </c>
      <c r="B1040" s="95" t="s">
        <v>778</v>
      </c>
      <c r="C1040" s="26" t="s">
        <v>779</v>
      </c>
      <c r="D1040" s="26" t="s">
        <v>123</v>
      </c>
      <c r="E1040" s="223">
        <v>1</v>
      </c>
      <c r="F1040" s="223">
        <v>150000</v>
      </c>
      <c r="G1040" s="2">
        <f t="shared" si="159"/>
        <v>150000</v>
      </c>
      <c r="H1040" s="238">
        <f t="shared" si="160"/>
        <v>22500</v>
      </c>
      <c r="I1040" s="51">
        <f t="shared" si="161"/>
        <v>30000</v>
      </c>
      <c r="J1040" s="52">
        <f>+(F1040+H1040+I1040)/5300</f>
        <v>38.20754716981132</v>
      </c>
      <c r="K1040" s="53">
        <f>+J1040*E1040</f>
        <v>38.20754716981132</v>
      </c>
      <c r="L1040" s="52">
        <f>J1040*E1040</f>
        <v>38.20754716981132</v>
      </c>
      <c r="M1040" s="245" t="s">
        <v>118</v>
      </c>
    </row>
    <row r="1041" spans="1:13">
      <c r="A1041" s="94" t="s">
        <v>777</v>
      </c>
      <c r="B1041" s="95" t="s">
        <v>778</v>
      </c>
      <c r="C1041" s="26" t="s">
        <v>779</v>
      </c>
      <c r="D1041" s="26" t="s">
        <v>123</v>
      </c>
      <c r="E1041" s="226">
        <v>1</v>
      </c>
      <c r="F1041" s="235">
        <v>50000</v>
      </c>
      <c r="G1041" s="2">
        <f t="shared" si="159"/>
        <v>50000</v>
      </c>
      <c r="H1041" s="51">
        <f t="shared" si="160"/>
        <v>7500</v>
      </c>
      <c r="I1041" s="51">
        <f t="shared" si="161"/>
        <v>10000</v>
      </c>
      <c r="J1041" s="84">
        <f>+(F1041+H1041+I1041)/5300</f>
        <v>12.735849056603774</v>
      </c>
      <c r="K1041" s="52">
        <f>J1041*E1041</f>
        <v>12.735849056603774</v>
      </c>
      <c r="L1041" s="219"/>
      <c r="M1041" s="245" t="s">
        <v>23</v>
      </c>
    </row>
    <row r="1042" spans="1:13">
      <c r="A1042" s="218" t="s">
        <v>777</v>
      </c>
      <c r="B1042" s="95" t="s">
        <v>778</v>
      </c>
      <c r="C1042" s="26" t="s">
        <v>779</v>
      </c>
      <c r="D1042" s="55" t="s">
        <v>123</v>
      </c>
      <c r="E1042" s="49">
        <v>1</v>
      </c>
      <c r="F1042" s="48">
        <v>70000</v>
      </c>
      <c r="G1042" s="9">
        <f t="shared" si="159"/>
        <v>70000</v>
      </c>
      <c r="H1042" s="51">
        <f t="shared" si="160"/>
        <v>10500</v>
      </c>
      <c r="I1042" s="51">
        <f t="shared" si="161"/>
        <v>14000</v>
      </c>
      <c r="J1042" s="52">
        <f>+(F1042+H1042+I1042)/5300</f>
        <v>17.830188679245282</v>
      </c>
      <c r="K1042" s="53">
        <f t="shared" ref="K1042:K1052" si="162">+J1042*E1042</f>
        <v>17.830188679245282</v>
      </c>
      <c r="L1042" s="54">
        <f>J1042*E1042</f>
        <v>17.830188679245282</v>
      </c>
      <c r="M1042" s="245" t="s">
        <v>30</v>
      </c>
    </row>
    <row r="1043" spans="1:13">
      <c r="A1043" s="94" t="s">
        <v>777</v>
      </c>
      <c r="B1043" s="95" t="s">
        <v>778</v>
      </c>
      <c r="C1043" s="26" t="s">
        <v>779</v>
      </c>
      <c r="D1043" s="104" t="s">
        <v>123</v>
      </c>
      <c r="E1043" s="226">
        <v>1</v>
      </c>
      <c r="F1043" s="223">
        <v>70000</v>
      </c>
      <c r="G1043" s="2">
        <f t="shared" si="159"/>
        <v>70000</v>
      </c>
      <c r="H1043" s="238">
        <f t="shared" si="160"/>
        <v>10500</v>
      </c>
      <c r="I1043" s="51">
        <f t="shared" si="161"/>
        <v>14000</v>
      </c>
      <c r="J1043" s="52">
        <f>+(H1043+I1043+F1043)/5300</f>
        <v>17.830188679245282</v>
      </c>
      <c r="K1043" s="53">
        <f t="shared" si="162"/>
        <v>17.830188679245282</v>
      </c>
      <c r="L1043" s="52">
        <f>E1043*J1043</f>
        <v>17.830188679245282</v>
      </c>
      <c r="M1043" s="245" t="s">
        <v>93</v>
      </c>
    </row>
    <row r="1044" spans="1:13">
      <c r="A1044" s="94" t="s">
        <v>777</v>
      </c>
      <c r="B1044" s="95" t="s">
        <v>778</v>
      </c>
      <c r="C1044" s="26" t="s">
        <v>779</v>
      </c>
      <c r="D1044" s="26" t="s">
        <v>123</v>
      </c>
      <c r="E1044" s="226">
        <v>1</v>
      </c>
      <c r="F1044" s="223">
        <v>50000</v>
      </c>
      <c r="G1044" s="2">
        <f t="shared" si="159"/>
        <v>50000</v>
      </c>
      <c r="H1044" s="238">
        <f t="shared" si="160"/>
        <v>7500</v>
      </c>
      <c r="I1044" s="51">
        <f t="shared" si="161"/>
        <v>10000</v>
      </c>
      <c r="J1044" s="52">
        <f>+(F1044+H1044+I1044)/5300</f>
        <v>12.735849056603774</v>
      </c>
      <c r="K1044" s="52">
        <f t="shared" si="162"/>
        <v>12.735849056603774</v>
      </c>
      <c r="L1044" s="219"/>
      <c r="M1044" s="245" t="s">
        <v>87</v>
      </c>
    </row>
    <row r="1045" spans="1:13">
      <c r="A1045" s="94" t="s">
        <v>777</v>
      </c>
      <c r="B1045" s="95" t="s">
        <v>778</v>
      </c>
      <c r="C1045" s="26" t="s">
        <v>779</v>
      </c>
      <c r="D1045" s="26" t="s">
        <v>123</v>
      </c>
      <c r="E1045" s="226">
        <v>1</v>
      </c>
      <c r="F1045" s="223">
        <v>50000</v>
      </c>
      <c r="G1045" s="2">
        <f t="shared" si="159"/>
        <v>50000</v>
      </c>
      <c r="H1045" s="238">
        <f t="shared" si="160"/>
        <v>7500</v>
      </c>
      <c r="I1045" s="51">
        <f t="shared" si="161"/>
        <v>10000</v>
      </c>
      <c r="J1045" s="128">
        <f>+(F1045+H1045+I1045)/5300</f>
        <v>12.735849056603774</v>
      </c>
      <c r="K1045" s="53">
        <f t="shared" si="162"/>
        <v>12.735849056603774</v>
      </c>
      <c r="L1045" s="52">
        <f>E1045*J1045</f>
        <v>12.735849056603774</v>
      </c>
      <c r="M1045" s="245" t="s">
        <v>15</v>
      </c>
    </row>
    <row r="1046" spans="1:13">
      <c r="A1046" s="299" t="s">
        <v>780</v>
      </c>
      <c r="B1046" s="215" t="s">
        <v>781</v>
      </c>
      <c r="C1046" s="26" t="s">
        <v>782</v>
      </c>
      <c r="D1046" s="26" t="s">
        <v>783</v>
      </c>
      <c r="E1046" s="226">
        <v>2</v>
      </c>
      <c r="F1046" s="223">
        <v>150000</v>
      </c>
      <c r="G1046" s="2">
        <f t="shared" si="159"/>
        <v>300000</v>
      </c>
      <c r="H1046" s="238">
        <f t="shared" si="160"/>
        <v>22500</v>
      </c>
      <c r="I1046" s="51">
        <f t="shared" si="161"/>
        <v>30000</v>
      </c>
      <c r="J1046" s="128">
        <f>+(F1046+H1046+I1046)/5300</f>
        <v>38.20754716981132</v>
      </c>
      <c r="K1046" s="53">
        <f t="shared" si="162"/>
        <v>76.415094339622641</v>
      </c>
      <c r="L1046" s="52">
        <f>E1046*J1046</f>
        <v>76.415094339622641</v>
      </c>
      <c r="M1046" s="245" t="s">
        <v>15</v>
      </c>
    </row>
    <row r="1047" spans="1:13">
      <c r="A1047" s="299" t="s">
        <v>780</v>
      </c>
      <c r="B1047" s="215" t="s">
        <v>784</v>
      </c>
      <c r="C1047" s="207" t="s">
        <v>782</v>
      </c>
      <c r="D1047" s="207" t="s">
        <v>783</v>
      </c>
      <c r="E1047" s="227">
        <v>2</v>
      </c>
      <c r="F1047" s="227">
        <v>150000</v>
      </c>
      <c r="G1047" s="212">
        <f t="shared" si="159"/>
        <v>300000</v>
      </c>
      <c r="H1047" s="239">
        <f t="shared" si="160"/>
        <v>22500</v>
      </c>
      <c r="I1047" s="206">
        <f t="shared" si="161"/>
        <v>30000</v>
      </c>
      <c r="J1047" s="84">
        <f>+(F1047+H1047+I1047)/5300</f>
        <v>38.20754716981132</v>
      </c>
      <c r="K1047" s="241">
        <f t="shared" si="162"/>
        <v>76.415094339622641</v>
      </c>
      <c r="L1047" s="219"/>
      <c r="M1047" s="245" t="s">
        <v>20</v>
      </c>
    </row>
    <row r="1048" spans="1:13">
      <c r="A1048" s="301" t="s">
        <v>780</v>
      </c>
      <c r="B1048" s="215" t="s">
        <v>785</v>
      </c>
      <c r="C1048" s="26" t="s">
        <v>782</v>
      </c>
      <c r="D1048" s="26" t="s">
        <v>783</v>
      </c>
      <c r="E1048" s="226">
        <v>2</v>
      </c>
      <c r="F1048" s="223">
        <v>150000</v>
      </c>
      <c r="G1048" s="2">
        <f t="shared" si="159"/>
        <v>300000</v>
      </c>
      <c r="H1048" s="51">
        <f t="shared" si="160"/>
        <v>22500</v>
      </c>
      <c r="I1048" s="51">
        <f>+F1048*0.15</f>
        <v>22500</v>
      </c>
      <c r="J1048" s="52">
        <f>+(I1048+H1048+F1048)/5300</f>
        <v>36.79245283018868</v>
      </c>
      <c r="K1048" s="52">
        <f t="shared" si="162"/>
        <v>73.584905660377359</v>
      </c>
      <c r="L1048" s="219"/>
      <c r="M1048" s="245" t="s">
        <v>89</v>
      </c>
    </row>
    <row r="1049" spans="1:13">
      <c r="A1049" s="94" t="s">
        <v>786</v>
      </c>
      <c r="B1049" s="95" t="s">
        <v>785</v>
      </c>
      <c r="C1049" s="207" t="s">
        <v>787</v>
      </c>
      <c r="D1049" s="207" t="s">
        <v>783</v>
      </c>
      <c r="E1049" s="227">
        <v>3.5</v>
      </c>
      <c r="F1049" s="227">
        <v>200000</v>
      </c>
      <c r="G1049" s="212">
        <f t="shared" si="159"/>
        <v>700000</v>
      </c>
      <c r="H1049" s="239">
        <f t="shared" si="160"/>
        <v>30000</v>
      </c>
      <c r="I1049" s="206">
        <f>+F1049*0.2</f>
        <v>40000</v>
      </c>
      <c r="J1049" s="84">
        <f>+(F1049+H1049+I1049)/5300</f>
        <v>50.943396226415096</v>
      </c>
      <c r="K1049" s="241">
        <f t="shared" si="162"/>
        <v>178.30188679245285</v>
      </c>
      <c r="L1049" s="219"/>
      <c r="M1049" s="245" t="s">
        <v>20</v>
      </c>
    </row>
    <row r="1050" spans="1:13">
      <c r="A1050" s="1" t="s">
        <v>786</v>
      </c>
      <c r="B1050" s="94" t="s">
        <v>785</v>
      </c>
      <c r="C1050" s="26" t="s">
        <v>787</v>
      </c>
      <c r="D1050" s="26" t="s">
        <v>783</v>
      </c>
      <c r="E1050" s="226">
        <v>3.5</v>
      </c>
      <c r="F1050" s="223">
        <v>200000</v>
      </c>
      <c r="G1050" s="2">
        <f t="shared" si="159"/>
        <v>700000</v>
      </c>
      <c r="H1050" s="51">
        <f t="shared" si="160"/>
        <v>30000</v>
      </c>
      <c r="I1050" s="51">
        <f>+F1050*0.15</f>
        <v>30000</v>
      </c>
      <c r="J1050" s="52">
        <f>+(I1050+H1050+F1050)/5300</f>
        <v>49.056603773584904</v>
      </c>
      <c r="K1050" s="52">
        <f t="shared" si="162"/>
        <v>171.69811320754715</v>
      </c>
      <c r="L1050" s="219"/>
      <c r="M1050" s="245" t="s">
        <v>89</v>
      </c>
    </row>
    <row r="1051" spans="1:13">
      <c r="A1051" s="94" t="s">
        <v>786</v>
      </c>
      <c r="B1051" s="94" t="s">
        <v>785</v>
      </c>
      <c r="C1051" s="26" t="s">
        <v>787</v>
      </c>
      <c r="D1051" s="104" t="s">
        <v>783</v>
      </c>
      <c r="E1051" s="226">
        <v>3.5</v>
      </c>
      <c r="F1051" s="223">
        <v>200000</v>
      </c>
      <c r="G1051" s="2">
        <f t="shared" si="159"/>
        <v>700000</v>
      </c>
      <c r="H1051" s="238">
        <f t="shared" si="160"/>
        <v>30000</v>
      </c>
      <c r="I1051" s="51">
        <f t="shared" ref="I1051:I1059" si="163">+F1051*0.2</f>
        <v>40000</v>
      </c>
      <c r="J1051" s="240">
        <f>+(F1051+H1051+I1051)/5300</f>
        <v>50.943396226415096</v>
      </c>
      <c r="K1051" s="51">
        <f t="shared" si="162"/>
        <v>178.30188679245285</v>
      </c>
      <c r="L1051" s="240">
        <f>+J1051*E1051</f>
        <v>178.30188679245285</v>
      </c>
      <c r="M1051" s="245" t="s">
        <v>117</v>
      </c>
    </row>
    <row r="1052" spans="1:13">
      <c r="A1052" s="1" t="s">
        <v>786</v>
      </c>
      <c r="B1052" s="94" t="s">
        <v>785</v>
      </c>
      <c r="C1052" s="26" t="s">
        <v>787</v>
      </c>
      <c r="D1052" s="26" t="s">
        <v>783</v>
      </c>
      <c r="E1052" s="223">
        <v>5</v>
      </c>
      <c r="F1052" s="223">
        <v>200000</v>
      </c>
      <c r="G1052" s="2">
        <f t="shared" si="159"/>
        <v>1000000</v>
      </c>
      <c r="H1052" s="238">
        <f t="shared" si="160"/>
        <v>30000</v>
      </c>
      <c r="I1052" s="51">
        <f t="shared" si="163"/>
        <v>40000</v>
      </c>
      <c r="J1052" s="52">
        <f>+(F1052+H1052+I1052)/5300</f>
        <v>50.943396226415096</v>
      </c>
      <c r="K1052" s="53">
        <f t="shared" si="162"/>
        <v>254.71698113207549</v>
      </c>
      <c r="L1052" s="52">
        <f>J1052*E1052</f>
        <v>254.71698113207549</v>
      </c>
      <c r="M1052" s="245" t="s">
        <v>118</v>
      </c>
    </row>
    <row r="1053" spans="1:13">
      <c r="A1053" s="94" t="s">
        <v>786</v>
      </c>
      <c r="B1053" s="95" t="s">
        <v>785</v>
      </c>
      <c r="C1053" s="26" t="s">
        <v>787</v>
      </c>
      <c r="D1053" s="26" t="s">
        <v>783</v>
      </c>
      <c r="E1053" s="226">
        <v>3.5</v>
      </c>
      <c r="F1053" s="235">
        <v>200000</v>
      </c>
      <c r="G1053" s="2">
        <f t="shared" si="159"/>
        <v>700000</v>
      </c>
      <c r="H1053" s="51">
        <f t="shared" si="160"/>
        <v>30000</v>
      </c>
      <c r="I1053" s="51">
        <f t="shared" si="163"/>
        <v>40000</v>
      </c>
      <c r="J1053" s="84">
        <f>+(F1053+H1053+I1053)/5300</f>
        <v>50.943396226415096</v>
      </c>
      <c r="K1053" s="52">
        <f>J1053*E1053</f>
        <v>178.30188679245285</v>
      </c>
      <c r="L1053" s="219"/>
      <c r="M1053" s="245" t="s">
        <v>23</v>
      </c>
    </row>
    <row r="1054" spans="1:13">
      <c r="A1054" s="218" t="s">
        <v>786</v>
      </c>
      <c r="B1054" s="95" t="s">
        <v>785</v>
      </c>
      <c r="C1054" s="26" t="s">
        <v>787</v>
      </c>
      <c r="D1054" s="55" t="s">
        <v>783</v>
      </c>
      <c r="E1054" s="49">
        <v>6</v>
      </c>
      <c r="F1054" s="48">
        <v>200000</v>
      </c>
      <c r="G1054" s="9">
        <f t="shared" si="159"/>
        <v>1200000</v>
      </c>
      <c r="H1054" s="51">
        <f t="shared" si="160"/>
        <v>30000</v>
      </c>
      <c r="I1054" s="51">
        <f t="shared" si="163"/>
        <v>40000</v>
      </c>
      <c r="J1054" s="52">
        <f>+(F1054+H1054+I1054)/5300</f>
        <v>50.943396226415096</v>
      </c>
      <c r="K1054" s="53">
        <f t="shared" ref="K1054:K1062" si="164">+J1054*E1054</f>
        <v>305.66037735849056</v>
      </c>
      <c r="L1054" s="54">
        <f>J1054*E1054</f>
        <v>305.66037735849056</v>
      </c>
      <c r="M1054" s="245" t="s">
        <v>30</v>
      </c>
    </row>
    <row r="1055" spans="1:13">
      <c r="A1055" s="94" t="s">
        <v>786</v>
      </c>
      <c r="B1055" s="95" t="s">
        <v>785</v>
      </c>
      <c r="C1055" s="26" t="s">
        <v>787</v>
      </c>
      <c r="D1055" s="104" t="s">
        <v>783</v>
      </c>
      <c r="E1055" s="226">
        <v>4</v>
      </c>
      <c r="F1055" s="223">
        <v>200000</v>
      </c>
      <c r="G1055" s="2">
        <f t="shared" si="159"/>
        <v>800000</v>
      </c>
      <c r="H1055" s="238">
        <f t="shared" si="160"/>
        <v>30000</v>
      </c>
      <c r="I1055" s="51">
        <f t="shared" si="163"/>
        <v>40000</v>
      </c>
      <c r="J1055" s="52">
        <f>+(H1055+I1055+F1055)/5300</f>
        <v>50.943396226415096</v>
      </c>
      <c r="K1055" s="53">
        <f t="shared" si="164"/>
        <v>203.77358490566039</v>
      </c>
      <c r="L1055" s="52">
        <f>E1055*J1055</f>
        <v>203.77358490566039</v>
      </c>
      <c r="M1055" s="245" t="s">
        <v>93</v>
      </c>
    </row>
    <row r="1056" spans="1:13">
      <c r="A1056" s="94" t="s">
        <v>786</v>
      </c>
      <c r="B1056" s="95" t="s">
        <v>785</v>
      </c>
      <c r="C1056" s="26" t="s">
        <v>787</v>
      </c>
      <c r="D1056" s="224" t="s">
        <v>783</v>
      </c>
      <c r="E1056" s="226">
        <v>3.7</v>
      </c>
      <c r="F1056" s="223">
        <v>200000</v>
      </c>
      <c r="G1056" s="2">
        <f t="shared" si="159"/>
        <v>740000</v>
      </c>
      <c r="H1056" s="238">
        <f t="shared" si="160"/>
        <v>30000</v>
      </c>
      <c r="I1056" s="51">
        <f t="shared" si="163"/>
        <v>40000</v>
      </c>
      <c r="J1056" s="52">
        <f>+(F1056+H1056+I1056)/5300</f>
        <v>50.943396226415096</v>
      </c>
      <c r="K1056" s="52">
        <f t="shared" si="164"/>
        <v>188.49056603773587</v>
      </c>
      <c r="L1056" s="219"/>
      <c r="M1056" s="245" t="s">
        <v>87</v>
      </c>
    </row>
    <row r="1057" spans="1:13">
      <c r="A1057" s="94" t="s">
        <v>786</v>
      </c>
      <c r="B1057" s="95" t="s">
        <v>785</v>
      </c>
      <c r="C1057" s="26" t="s">
        <v>787</v>
      </c>
      <c r="D1057" s="26" t="s">
        <v>783</v>
      </c>
      <c r="E1057" s="226">
        <v>3.5</v>
      </c>
      <c r="F1057" s="223">
        <v>200000</v>
      </c>
      <c r="G1057" s="2">
        <f t="shared" si="159"/>
        <v>700000</v>
      </c>
      <c r="H1057" s="238">
        <f t="shared" si="160"/>
        <v>30000</v>
      </c>
      <c r="I1057" s="51">
        <f t="shared" si="163"/>
        <v>40000</v>
      </c>
      <c r="J1057" s="128">
        <f>+(F1057+H1057+I1057)/5300</f>
        <v>50.943396226415096</v>
      </c>
      <c r="K1057" s="53">
        <f t="shared" si="164"/>
        <v>178.30188679245285</v>
      </c>
      <c r="L1057" s="52">
        <f>E1057*J1057</f>
        <v>178.30188679245285</v>
      </c>
      <c r="M1057" s="245" t="s">
        <v>15</v>
      </c>
    </row>
    <row r="1058" spans="1:13">
      <c r="A1058" s="299" t="s">
        <v>780</v>
      </c>
      <c r="B1058" s="215" t="s">
        <v>788</v>
      </c>
      <c r="C1058" s="26" t="s">
        <v>782</v>
      </c>
      <c r="D1058" s="104" t="s">
        <v>783</v>
      </c>
      <c r="E1058" s="226">
        <v>2</v>
      </c>
      <c r="F1058" s="223">
        <v>170000</v>
      </c>
      <c r="G1058" s="2">
        <f t="shared" si="159"/>
        <v>340000</v>
      </c>
      <c r="H1058" s="238">
        <f t="shared" si="160"/>
        <v>25500</v>
      </c>
      <c r="I1058" s="51">
        <f t="shared" si="163"/>
        <v>34000</v>
      </c>
      <c r="J1058" s="240">
        <f>+(F1058+H1058+I1058)/5300</f>
        <v>43.301886792452834</v>
      </c>
      <c r="K1058" s="51">
        <f t="shared" si="164"/>
        <v>86.603773584905667</v>
      </c>
      <c r="L1058" s="240">
        <f>+J1058*E1058</f>
        <v>86.603773584905667</v>
      </c>
      <c r="M1058" s="245" t="s">
        <v>117</v>
      </c>
    </row>
    <row r="1059" spans="1:13">
      <c r="A1059" s="299" t="s">
        <v>789</v>
      </c>
      <c r="B1059" s="215" t="s">
        <v>788</v>
      </c>
      <c r="C1059" s="207" t="s">
        <v>790</v>
      </c>
      <c r="D1059" s="207" t="s">
        <v>783</v>
      </c>
      <c r="E1059" s="227">
        <v>4</v>
      </c>
      <c r="F1059" s="227">
        <v>100000</v>
      </c>
      <c r="G1059" s="212">
        <f t="shared" si="159"/>
        <v>400000</v>
      </c>
      <c r="H1059" s="239">
        <f t="shared" si="160"/>
        <v>15000</v>
      </c>
      <c r="I1059" s="206">
        <f t="shared" si="163"/>
        <v>20000</v>
      </c>
      <c r="J1059" s="84">
        <f>+(F1059+H1059+I1059)/5300</f>
        <v>25.471698113207548</v>
      </c>
      <c r="K1059" s="241">
        <f t="shared" si="164"/>
        <v>101.88679245283019</v>
      </c>
      <c r="L1059" s="219"/>
      <c r="M1059" s="245" t="s">
        <v>20</v>
      </c>
    </row>
    <row r="1060" spans="1:13">
      <c r="A1060" s="301" t="s">
        <v>789</v>
      </c>
      <c r="B1060" s="215" t="s">
        <v>788</v>
      </c>
      <c r="C1060" s="26" t="s">
        <v>790</v>
      </c>
      <c r="D1060" s="26" t="s">
        <v>783</v>
      </c>
      <c r="E1060" s="226">
        <v>4</v>
      </c>
      <c r="F1060" s="223">
        <v>100000</v>
      </c>
      <c r="G1060" s="2">
        <f t="shared" si="159"/>
        <v>400000</v>
      </c>
      <c r="H1060" s="51">
        <f t="shared" si="160"/>
        <v>15000</v>
      </c>
      <c r="I1060" s="51">
        <f>+F1060*0.15</f>
        <v>15000</v>
      </c>
      <c r="J1060" s="52">
        <f>+(I1060+H1060+F1060)/5300</f>
        <v>24.528301886792452</v>
      </c>
      <c r="K1060" s="52">
        <f t="shared" si="164"/>
        <v>98.113207547169807</v>
      </c>
      <c r="L1060" s="219"/>
      <c r="M1060" s="245" t="s">
        <v>89</v>
      </c>
    </row>
    <row r="1061" spans="1:13">
      <c r="A1061" s="299" t="s">
        <v>789</v>
      </c>
      <c r="B1061" s="215" t="s">
        <v>788</v>
      </c>
      <c r="C1061" s="26" t="s">
        <v>790</v>
      </c>
      <c r="D1061" s="104" t="s">
        <v>783</v>
      </c>
      <c r="E1061" s="226">
        <v>4</v>
      </c>
      <c r="F1061" s="223">
        <v>120000</v>
      </c>
      <c r="G1061" s="2">
        <f t="shared" si="159"/>
        <v>480000</v>
      </c>
      <c r="H1061" s="238">
        <f t="shared" si="160"/>
        <v>18000</v>
      </c>
      <c r="I1061" s="51">
        <f t="shared" ref="I1061:I1069" si="165">+F1061*0.2</f>
        <v>24000</v>
      </c>
      <c r="J1061" s="240">
        <f>+(F1061+H1061+I1061)/5300</f>
        <v>30.566037735849058</v>
      </c>
      <c r="K1061" s="51">
        <f t="shared" si="164"/>
        <v>122.26415094339623</v>
      </c>
      <c r="L1061" s="240">
        <f>+J1061*E1061</f>
        <v>122.26415094339623</v>
      </c>
      <c r="M1061" s="245" t="s">
        <v>117</v>
      </c>
    </row>
    <row r="1062" spans="1:13">
      <c r="A1062" s="301" t="s">
        <v>789</v>
      </c>
      <c r="B1062" s="215" t="s">
        <v>788</v>
      </c>
      <c r="C1062" s="26" t="s">
        <v>790</v>
      </c>
      <c r="D1062" s="26" t="s">
        <v>783</v>
      </c>
      <c r="E1062" s="223">
        <v>5</v>
      </c>
      <c r="F1062" s="223">
        <v>120000</v>
      </c>
      <c r="G1062" s="2">
        <f t="shared" si="159"/>
        <v>600000</v>
      </c>
      <c r="H1062" s="238">
        <f t="shared" si="160"/>
        <v>18000</v>
      </c>
      <c r="I1062" s="51">
        <f t="shared" si="165"/>
        <v>24000</v>
      </c>
      <c r="J1062" s="52">
        <f>+(F1062+H1062+I1062)/5300</f>
        <v>30.566037735849058</v>
      </c>
      <c r="K1062" s="53">
        <f t="shared" si="164"/>
        <v>152.83018867924528</v>
      </c>
      <c r="L1062" s="52">
        <f>J1062*E1062</f>
        <v>152.83018867924528</v>
      </c>
      <c r="M1062" s="245" t="s">
        <v>118</v>
      </c>
    </row>
    <row r="1063" spans="1:13">
      <c r="A1063" s="299" t="s">
        <v>789</v>
      </c>
      <c r="B1063" s="215" t="s">
        <v>788</v>
      </c>
      <c r="C1063" s="26" t="s">
        <v>790</v>
      </c>
      <c r="D1063" s="26" t="s">
        <v>783</v>
      </c>
      <c r="E1063" s="226">
        <v>4</v>
      </c>
      <c r="F1063" s="235">
        <v>100000</v>
      </c>
      <c r="G1063" s="2">
        <f t="shared" si="159"/>
        <v>400000</v>
      </c>
      <c r="H1063" s="51">
        <f t="shared" si="160"/>
        <v>15000</v>
      </c>
      <c r="I1063" s="51">
        <f t="shared" si="165"/>
        <v>20000</v>
      </c>
      <c r="J1063" s="84">
        <f>+(F1063+H1063+I1063)/5300</f>
        <v>25.471698113207548</v>
      </c>
      <c r="K1063" s="52">
        <f>J1063*E1063</f>
        <v>101.88679245283019</v>
      </c>
      <c r="L1063" s="219"/>
      <c r="M1063" s="245" t="s">
        <v>23</v>
      </c>
    </row>
    <row r="1064" spans="1:13">
      <c r="A1064" s="302" t="s">
        <v>789</v>
      </c>
      <c r="B1064" s="215" t="s">
        <v>788</v>
      </c>
      <c r="C1064" s="26" t="s">
        <v>790</v>
      </c>
      <c r="D1064" s="55" t="s">
        <v>783</v>
      </c>
      <c r="E1064" s="49">
        <v>10</v>
      </c>
      <c r="F1064" s="48">
        <v>100000</v>
      </c>
      <c r="G1064" s="9">
        <f t="shared" si="159"/>
        <v>1000000</v>
      </c>
      <c r="H1064" s="51">
        <f t="shared" si="160"/>
        <v>15000</v>
      </c>
      <c r="I1064" s="51">
        <f t="shared" si="165"/>
        <v>20000</v>
      </c>
      <c r="J1064" s="52">
        <f>+(F1064+H1064+I1064)/5300</f>
        <v>25.471698113207548</v>
      </c>
      <c r="K1064" s="53">
        <f t="shared" ref="K1064:K1072" si="166">+J1064*E1064</f>
        <v>254.71698113207549</v>
      </c>
      <c r="L1064" s="54">
        <f>J1064*E1064</f>
        <v>254.71698113207549</v>
      </c>
      <c r="M1064" s="245" t="s">
        <v>30</v>
      </c>
    </row>
    <row r="1065" spans="1:13">
      <c r="A1065" s="299" t="s">
        <v>789</v>
      </c>
      <c r="B1065" s="215" t="s">
        <v>788</v>
      </c>
      <c r="C1065" s="26" t="s">
        <v>790</v>
      </c>
      <c r="D1065" s="104" t="s">
        <v>783</v>
      </c>
      <c r="E1065" s="226">
        <v>4</v>
      </c>
      <c r="F1065" s="223">
        <v>100000</v>
      </c>
      <c r="G1065" s="2">
        <f t="shared" si="159"/>
        <v>400000</v>
      </c>
      <c r="H1065" s="238">
        <f t="shared" si="160"/>
        <v>15000</v>
      </c>
      <c r="I1065" s="51">
        <f t="shared" si="165"/>
        <v>20000</v>
      </c>
      <c r="J1065" s="52">
        <f>+(H1065+I1065+F1065)/5300</f>
        <v>25.471698113207548</v>
      </c>
      <c r="K1065" s="53">
        <f t="shared" si="166"/>
        <v>101.88679245283019</v>
      </c>
      <c r="L1065" s="52">
        <f>E1065*J1065</f>
        <v>101.88679245283019</v>
      </c>
      <c r="M1065" s="245" t="s">
        <v>93</v>
      </c>
    </row>
    <row r="1066" spans="1:13">
      <c r="A1066" s="299" t="s">
        <v>789</v>
      </c>
      <c r="B1066" s="215" t="s">
        <v>788</v>
      </c>
      <c r="C1066" s="26" t="s">
        <v>790</v>
      </c>
      <c r="D1066" s="224" t="s">
        <v>783</v>
      </c>
      <c r="E1066" s="226">
        <v>4</v>
      </c>
      <c r="F1066" s="223">
        <v>100000</v>
      </c>
      <c r="G1066" s="2">
        <f t="shared" si="159"/>
        <v>400000</v>
      </c>
      <c r="H1066" s="238">
        <f t="shared" si="160"/>
        <v>15000</v>
      </c>
      <c r="I1066" s="51">
        <f t="shared" si="165"/>
        <v>20000</v>
      </c>
      <c r="J1066" s="52">
        <f>+(F1066+H1066+I1066)/5300</f>
        <v>25.471698113207548</v>
      </c>
      <c r="K1066" s="52">
        <f t="shared" si="166"/>
        <v>101.88679245283019</v>
      </c>
      <c r="L1066" s="219"/>
      <c r="M1066" s="245" t="s">
        <v>87</v>
      </c>
    </row>
    <row r="1067" spans="1:13">
      <c r="A1067" s="299" t="s">
        <v>789</v>
      </c>
      <c r="B1067" s="215" t="s">
        <v>788</v>
      </c>
      <c r="C1067" s="26" t="s">
        <v>790</v>
      </c>
      <c r="D1067" s="26" t="s">
        <v>783</v>
      </c>
      <c r="E1067" s="226">
        <v>4</v>
      </c>
      <c r="F1067" s="223">
        <v>100000</v>
      </c>
      <c r="G1067" s="2">
        <f t="shared" si="159"/>
        <v>400000</v>
      </c>
      <c r="H1067" s="238">
        <f t="shared" si="160"/>
        <v>15000</v>
      </c>
      <c r="I1067" s="51">
        <f t="shared" si="165"/>
        <v>20000</v>
      </c>
      <c r="J1067" s="128">
        <f>+(F1067+H1067+I1067)/5300</f>
        <v>25.471698113207548</v>
      </c>
      <c r="K1067" s="53">
        <f t="shared" si="166"/>
        <v>101.88679245283019</v>
      </c>
      <c r="L1067" s="52">
        <f>E1067*J1067</f>
        <v>101.88679245283019</v>
      </c>
      <c r="M1067" s="245" t="s">
        <v>15</v>
      </c>
    </row>
    <row r="1068" spans="1:13">
      <c r="A1068" s="301" t="s">
        <v>780</v>
      </c>
      <c r="B1068" s="215" t="s">
        <v>791</v>
      </c>
      <c r="C1068" s="26" t="s">
        <v>782</v>
      </c>
      <c r="D1068" s="26" t="s">
        <v>783</v>
      </c>
      <c r="E1068" s="223">
        <v>3</v>
      </c>
      <c r="F1068" s="223">
        <v>170000</v>
      </c>
      <c r="G1068" s="2">
        <f t="shared" si="159"/>
        <v>510000</v>
      </c>
      <c r="H1068" s="238">
        <f t="shared" si="160"/>
        <v>25500</v>
      </c>
      <c r="I1068" s="51">
        <f t="shared" si="165"/>
        <v>34000</v>
      </c>
      <c r="J1068" s="52">
        <f>+(F1068+H1068+I1068)/5300</f>
        <v>43.301886792452834</v>
      </c>
      <c r="K1068" s="53">
        <f t="shared" si="166"/>
        <v>129.90566037735852</v>
      </c>
      <c r="L1068" s="52">
        <f>J1068*E1068</f>
        <v>129.90566037735852</v>
      </c>
      <c r="M1068" s="245" t="s">
        <v>118</v>
      </c>
    </row>
    <row r="1069" spans="1:13">
      <c r="A1069" s="94" t="s">
        <v>792</v>
      </c>
      <c r="B1069" s="95" t="s">
        <v>791</v>
      </c>
      <c r="C1069" s="207" t="s">
        <v>793</v>
      </c>
      <c r="D1069" s="207" t="s">
        <v>794</v>
      </c>
      <c r="E1069" s="227">
        <v>2.5</v>
      </c>
      <c r="F1069" s="227">
        <v>40000</v>
      </c>
      <c r="G1069" s="212">
        <f t="shared" ref="G1069:G1100" si="167">F1069*E1069</f>
        <v>100000</v>
      </c>
      <c r="H1069" s="239">
        <f t="shared" ref="H1069:H1100" si="168">+F1069*0.15</f>
        <v>6000</v>
      </c>
      <c r="I1069" s="206">
        <f t="shared" si="165"/>
        <v>8000</v>
      </c>
      <c r="J1069" s="84">
        <f>+(F1069+H1069+I1069)/5300</f>
        <v>10.188679245283019</v>
      </c>
      <c r="K1069" s="241">
        <f t="shared" si="166"/>
        <v>25.471698113207548</v>
      </c>
      <c r="L1069" s="219"/>
      <c r="M1069" s="245" t="s">
        <v>20</v>
      </c>
    </row>
    <row r="1070" spans="1:13">
      <c r="A1070" s="1" t="s">
        <v>792</v>
      </c>
      <c r="B1070" s="95" t="s">
        <v>791</v>
      </c>
      <c r="C1070" s="26" t="s">
        <v>793</v>
      </c>
      <c r="D1070" s="26" t="s">
        <v>794</v>
      </c>
      <c r="E1070" s="226">
        <v>2.5</v>
      </c>
      <c r="F1070" s="223">
        <v>40000</v>
      </c>
      <c r="G1070" s="2">
        <f t="shared" si="167"/>
        <v>100000</v>
      </c>
      <c r="H1070" s="51">
        <f t="shared" si="168"/>
        <v>6000</v>
      </c>
      <c r="I1070" s="51">
        <f>+F1070*0.15</f>
        <v>6000</v>
      </c>
      <c r="J1070" s="52">
        <f>+(I1070+H1070+F1070)/5300</f>
        <v>9.8113207547169807</v>
      </c>
      <c r="K1070" s="52">
        <f t="shared" si="166"/>
        <v>24.528301886792452</v>
      </c>
      <c r="L1070" s="219"/>
      <c r="M1070" s="245" t="s">
        <v>89</v>
      </c>
    </row>
    <row r="1071" spans="1:13">
      <c r="A1071" s="94" t="s">
        <v>792</v>
      </c>
      <c r="B1071" s="95" t="s">
        <v>791</v>
      </c>
      <c r="C1071" s="26" t="s">
        <v>795</v>
      </c>
      <c r="D1071" s="104" t="s">
        <v>794</v>
      </c>
      <c r="E1071" s="226">
        <v>2.5</v>
      </c>
      <c r="F1071" s="223">
        <v>40000</v>
      </c>
      <c r="G1071" s="2">
        <f t="shared" si="167"/>
        <v>100000</v>
      </c>
      <c r="H1071" s="238">
        <f t="shared" si="168"/>
        <v>6000</v>
      </c>
      <c r="I1071" s="51">
        <f t="shared" ref="I1071:I1079" si="169">+F1071*0.2</f>
        <v>8000</v>
      </c>
      <c r="J1071" s="240">
        <f>+(F1071+H1071+I1071)/5300</f>
        <v>10.188679245283019</v>
      </c>
      <c r="K1071" s="51">
        <f t="shared" si="166"/>
        <v>25.471698113207548</v>
      </c>
      <c r="L1071" s="240">
        <f>+J1071*E1071</f>
        <v>25.471698113207548</v>
      </c>
      <c r="M1071" s="245" t="s">
        <v>117</v>
      </c>
    </row>
    <row r="1072" spans="1:13">
      <c r="A1072" s="1" t="s">
        <v>792</v>
      </c>
      <c r="B1072" s="95" t="s">
        <v>791</v>
      </c>
      <c r="C1072" s="26" t="s">
        <v>793</v>
      </c>
      <c r="D1072" s="26" t="s">
        <v>794</v>
      </c>
      <c r="E1072" s="223">
        <v>4</v>
      </c>
      <c r="F1072" s="223">
        <v>40000</v>
      </c>
      <c r="G1072" s="2">
        <f t="shared" si="167"/>
        <v>160000</v>
      </c>
      <c r="H1072" s="238">
        <f t="shared" si="168"/>
        <v>6000</v>
      </c>
      <c r="I1072" s="51">
        <f t="shared" si="169"/>
        <v>8000</v>
      </c>
      <c r="J1072" s="52">
        <f>+(F1072+H1072+I1072)/5300</f>
        <v>10.188679245283019</v>
      </c>
      <c r="K1072" s="53">
        <f t="shared" si="166"/>
        <v>40.754716981132077</v>
      </c>
      <c r="L1072" s="52">
        <f>J1072*E1072</f>
        <v>40.754716981132077</v>
      </c>
      <c r="M1072" s="245" t="s">
        <v>118</v>
      </c>
    </row>
    <row r="1073" spans="1:13">
      <c r="A1073" s="94" t="s">
        <v>792</v>
      </c>
      <c r="B1073" s="95" t="s">
        <v>791</v>
      </c>
      <c r="C1073" s="26" t="s">
        <v>793</v>
      </c>
      <c r="D1073" s="26" t="s">
        <v>794</v>
      </c>
      <c r="E1073" s="226">
        <v>2.5</v>
      </c>
      <c r="F1073" s="235">
        <v>40000</v>
      </c>
      <c r="G1073" s="2">
        <f t="shared" si="167"/>
        <v>100000</v>
      </c>
      <c r="H1073" s="51">
        <f t="shared" si="168"/>
        <v>6000</v>
      </c>
      <c r="I1073" s="51">
        <f t="shared" si="169"/>
        <v>8000</v>
      </c>
      <c r="J1073" s="84">
        <f>+(F1073+H1073+I1073)/5300</f>
        <v>10.188679245283019</v>
      </c>
      <c r="K1073" s="52">
        <f>J1073*E1073</f>
        <v>25.471698113207548</v>
      </c>
      <c r="L1073" s="219"/>
      <c r="M1073" s="245" t="s">
        <v>23</v>
      </c>
    </row>
    <row r="1074" spans="1:13">
      <c r="A1074" s="218" t="s">
        <v>792</v>
      </c>
      <c r="B1074" s="95" t="s">
        <v>791</v>
      </c>
      <c r="C1074" s="26" t="s">
        <v>793</v>
      </c>
      <c r="D1074" s="55" t="s">
        <v>794</v>
      </c>
      <c r="E1074" s="49">
        <v>10</v>
      </c>
      <c r="F1074" s="48">
        <v>40000</v>
      </c>
      <c r="G1074" s="9">
        <f t="shared" si="167"/>
        <v>400000</v>
      </c>
      <c r="H1074" s="51">
        <f t="shared" si="168"/>
        <v>6000</v>
      </c>
      <c r="I1074" s="51">
        <f t="shared" si="169"/>
        <v>8000</v>
      </c>
      <c r="J1074" s="52">
        <f>+(F1074+H1074+I1074)/5300</f>
        <v>10.188679245283019</v>
      </c>
      <c r="K1074" s="53">
        <f>+J1074*E1074</f>
        <v>101.88679245283019</v>
      </c>
      <c r="L1074" s="54">
        <f>J1074*E1074</f>
        <v>101.88679245283019</v>
      </c>
      <c r="M1074" s="245" t="s">
        <v>30</v>
      </c>
    </row>
    <row r="1075" spans="1:13">
      <c r="A1075" s="94" t="s">
        <v>792</v>
      </c>
      <c r="B1075" s="95" t="s">
        <v>791</v>
      </c>
      <c r="C1075" s="26" t="s">
        <v>795</v>
      </c>
      <c r="D1075" s="104" t="s">
        <v>794</v>
      </c>
      <c r="E1075" s="226">
        <v>2.5</v>
      </c>
      <c r="F1075" s="223">
        <v>40000</v>
      </c>
      <c r="G1075" s="2">
        <f t="shared" si="167"/>
        <v>100000</v>
      </c>
      <c r="H1075" s="238">
        <f t="shared" si="168"/>
        <v>6000</v>
      </c>
      <c r="I1075" s="51">
        <f t="shared" si="169"/>
        <v>8000</v>
      </c>
      <c r="J1075" s="52">
        <f>+(H1075+I1075+F1075)/5300</f>
        <v>10.188679245283019</v>
      </c>
      <c r="K1075" s="53">
        <f>+J1075*E1075</f>
        <v>25.471698113207548</v>
      </c>
      <c r="L1075" s="52">
        <f>E1075*J1075</f>
        <v>25.471698113207548</v>
      </c>
      <c r="M1075" s="245" t="s">
        <v>93</v>
      </c>
    </row>
    <row r="1076" spans="1:13">
      <c r="A1076" s="94" t="s">
        <v>792</v>
      </c>
      <c r="B1076" s="95" t="s">
        <v>791</v>
      </c>
      <c r="C1076" s="26" t="s">
        <v>793</v>
      </c>
      <c r="D1076" s="224" t="s">
        <v>794</v>
      </c>
      <c r="E1076" s="226">
        <v>2.8</v>
      </c>
      <c r="F1076" s="223">
        <v>40000</v>
      </c>
      <c r="G1076" s="2">
        <f t="shared" si="167"/>
        <v>112000</v>
      </c>
      <c r="H1076" s="238">
        <f t="shared" si="168"/>
        <v>6000</v>
      </c>
      <c r="I1076" s="51">
        <f t="shared" si="169"/>
        <v>8000</v>
      </c>
      <c r="J1076" s="52">
        <f>+(F1076+H1076+I1076)/5300</f>
        <v>10.188679245283019</v>
      </c>
      <c r="K1076" s="52">
        <f>+J1076*E1076</f>
        <v>28.528301886792452</v>
      </c>
      <c r="L1076" s="219"/>
      <c r="M1076" s="245" t="s">
        <v>87</v>
      </c>
    </row>
    <row r="1077" spans="1:13">
      <c r="A1077" s="94" t="s">
        <v>792</v>
      </c>
      <c r="B1077" s="95" t="s">
        <v>791</v>
      </c>
      <c r="C1077" s="26" t="s">
        <v>793</v>
      </c>
      <c r="D1077" s="26" t="s">
        <v>794</v>
      </c>
      <c r="E1077" s="226">
        <v>2.5</v>
      </c>
      <c r="F1077" s="223">
        <v>40000</v>
      </c>
      <c r="G1077" s="2">
        <f t="shared" si="167"/>
        <v>100000</v>
      </c>
      <c r="H1077" s="238">
        <f t="shared" si="168"/>
        <v>6000</v>
      </c>
      <c r="I1077" s="51">
        <f t="shared" si="169"/>
        <v>8000</v>
      </c>
      <c r="J1077" s="128">
        <f>+(F1077+H1077+I1077)/5300</f>
        <v>10.188679245283019</v>
      </c>
      <c r="K1077" s="53">
        <f>+J1077*E1077</f>
        <v>25.471698113207548</v>
      </c>
      <c r="L1077" s="52">
        <f>E1077*J1077</f>
        <v>25.471698113207548</v>
      </c>
      <c r="M1077" s="245" t="s">
        <v>15</v>
      </c>
    </row>
    <row r="1078" spans="1:13">
      <c r="A1078" s="299" t="s">
        <v>780</v>
      </c>
      <c r="B1078" s="215" t="s">
        <v>796</v>
      </c>
      <c r="C1078" s="26" t="s">
        <v>782</v>
      </c>
      <c r="D1078" s="26" t="s">
        <v>783</v>
      </c>
      <c r="E1078" s="226">
        <v>2</v>
      </c>
      <c r="F1078" s="235">
        <v>150000</v>
      </c>
      <c r="G1078" s="2">
        <f t="shared" si="167"/>
        <v>300000</v>
      </c>
      <c r="H1078" s="51">
        <f t="shared" si="168"/>
        <v>22500</v>
      </c>
      <c r="I1078" s="51">
        <f t="shared" si="169"/>
        <v>30000</v>
      </c>
      <c r="J1078" s="84">
        <f>+(F1078+H1078+I1078)/5300</f>
        <v>38.20754716981132</v>
      </c>
      <c r="K1078" s="52">
        <f>J1078*E1078</f>
        <v>76.415094339622641</v>
      </c>
      <c r="L1078" s="219"/>
      <c r="M1078" s="245" t="s">
        <v>23</v>
      </c>
    </row>
    <row r="1079" spans="1:13">
      <c r="A1079" s="218" t="s">
        <v>797</v>
      </c>
      <c r="B1079" s="27" t="s">
        <v>796</v>
      </c>
      <c r="C1079" s="207" t="s">
        <v>798</v>
      </c>
      <c r="D1079" s="207" t="s">
        <v>85</v>
      </c>
      <c r="E1079" s="227">
        <v>1</v>
      </c>
      <c r="F1079" s="227">
        <v>300000</v>
      </c>
      <c r="G1079" s="212">
        <f t="shared" si="167"/>
        <v>300000</v>
      </c>
      <c r="H1079" s="239">
        <f t="shared" si="168"/>
        <v>45000</v>
      </c>
      <c r="I1079" s="206">
        <f t="shared" si="169"/>
        <v>60000</v>
      </c>
      <c r="J1079" s="84">
        <f>+(F1079+H1079+I1079)/5300</f>
        <v>76.415094339622641</v>
      </c>
      <c r="K1079" s="241">
        <f>+J1079*E1079</f>
        <v>76.415094339622641</v>
      </c>
      <c r="L1079" s="219"/>
      <c r="M1079" s="245" t="s">
        <v>20</v>
      </c>
    </row>
    <row r="1080" spans="1:13">
      <c r="A1080" s="301" t="s">
        <v>797</v>
      </c>
      <c r="B1080" s="27" t="s">
        <v>796</v>
      </c>
      <c r="C1080" s="26" t="s">
        <v>798</v>
      </c>
      <c r="D1080" s="26" t="s">
        <v>85</v>
      </c>
      <c r="E1080" s="226">
        <v>1</v>
      </c>
      <c r="F1080" s="223">
        <v>300000</v>
      </c>
      <c r="G1080" s="2">
        <f t="shared" si="167"/>
        <v>300000</v>
      </c>
      <c r="H1080" s="51">
        <f t="shared" si="168"/>
        <v>45000</v>
      </c>
      <c r="I1080" s="51">
        <f>+F1080*0.15</f>
        <v>45000</v>
      </c>
      <c r="J1080" s="52">
        <f>+(I1080+H1080+F1080)/5300</f>
        <v>73.584905660377359</v>
      </c>
      <c r="K1080" s="52">
        <f>+J1080*E1080</f>
        <v>73.584905660377359</v>
      </c>
      <c r="L1080" s="219"/>
      <c r="M1080" s="245" t="s">
        <v>89</v>
      </c>
    </row>
    <row r="1081" spans="1:13">
      <c r="A1081" s="299" t="s">
        <v>797</v>
      </c>
      <c r="B1081" s="27" t="s">
        <v>796</v>
      </c>
      <c r="C1081" s="26" t="s">
        <v>798</v>
      </c>
      <c r="D1081" s="26" t="s">
        <v>85</v>
      </c>
      <c r="E1081" s="226">
        <v>1</v>
      </c>
      <c r="F1081" s="223">
        <v>300000</v>
      </c>
      <c r="G1081" s="2">
        <f t="shared" si="167"/>
        <v>300000</v>
      </c>
      <c r="H1081" s="238">
        <f t="shared" si="168"/>
        <v>45000</v>
      </c>
      <c r="I1081" s="51">
        <f t="shared" ref="I1081:I1089" si="170">+F1081*0.2</f>
        <v>60000</v>
      </c>
      <c r="J1081" s="240">
        <f>+(F1081+H1081+I1081)/5300</f>
        <v>76.415094339622641</v>
      </c>
      <c r="K1081" s="51">
        <f>+J1081*E1081</f>
        <v>76.415094339622641</v>
      </c>
      <c r="L1081" s="240">
        <f>+J1081*E1081</f>
        <v>76.415094339622641</v>
      </c>
      <c r="M1081" s="245" t="s">
        <v>117</v>
      </c>
    </row>
    <row r="1082" spans="1:13">
      <c r="A1082" s="301" t="s">
        <v>797</v>
      </c>
      <c r="B1082" s="27" t="s">
        <v>796</v>
      </c>
      <c r="C1082" s="26" t="s">
        <v>798</v>
      </c>
      <c r="D1082" s="26" t="s">
        <v>85</v>
      </c>
      <c r="E1082" s="223">
        <v>1</v>
      </c>
      <c r="F1082" s="223">
        <v>500000</v>
      </c>
      <c r="G1082" s="2">
        <f t="shared" si="167"/>
        <v>500000</v>
      </c>
      <c r="H1082" s="238">
        <f t="shared" si="168"/>
        <v>75000</v>
      </c>
      <c r="I1082" s="51">
        <f t="shared" si="170"/>
        <v>100000</v>
      </c>
      <c r="J1082" s="52">
        <f>+(F1082+H1082+I1082)/5300</f>
        <v>127.35849056603773</v>
      </c>
      <c r="K1082" s="53">
        <f>+J1082*E1082</f>
        <v>127.35849056603773</v>
      </c>
      <c r="L1082" s="52">
        <f>J1082*E1082</f>
        <v>127.35849056603773</v>
      </c>
      <c r="M1082" s="245" t="s">
        <v>118</v>
      </c>
    </row>
    <row r="1083" spans="1:13">
      <c r="A1083" s="299" t="s">
        <v>797</v>
      </c>
      <c r="B1083" s="27" t="s">
        <v>796</v>
      </c>
      <c r="C1083" s="26" t="s">
        <v>798</v>
      </c>
      <c r="D1083" s="26" t="s">
        <v>85</v>
      </c>
      <c r="E1083" s="226">
        <v>1</v>
      </c>
      <c r="F1083" s="235">
        <v>300000</v>
      </c>
      <c r="G1083" s="2">
        <f t="shared" si="167"/>
        <v>300000</v>
      </c>
      <c r="H1083" s="51">
        <f t="shared" si="168"/>
        <v>45000</v>
      </c>
      <c r="I1083" s="51">
        <f t="shared" si="170"/>
        <v>60000</v>
      </c>
      <c r="J1083" s="84">
        <f>+(F1083+H1083+I1083)/5300</f>
        <v>76.415094339622641</v>
      </c>
      <c r="K1083" s="52">
        <f>J1083*E1083</f>
        <v>76.415094339622641</v>
      </c>
      <c r="L1083" s="219"/>
      <c r="M1083" s="245" t="s">
        <v>23</v>
      </c>
    </row>
    <row r="1084" spans="1:13">
      <c r="A1084" s="302" t="s">
        <v>797</v>
      </c>
      <c r="B1084" s="27" t="s">
        <v>796</v>
      </c>
      <c r="C1084" s="26" t="s">
        <v>798</v>
      </c>
      <c r="D1084" s="55" t="s">
        <v>85</v>
      </c>
      <c r="E1084" s="49">
        <v>1</v>
      </c>
      <c r="F1084" s="48">
        <v>500000</v>
      </c>
      <c r="G1084" s="9">
        <f t="shared" si="167"/>
        <v>500000</v>
      </c>
      <c r="H1084" s="51">
        <f t="shared" si="168"/>
        <v>75000</v>
      </c>
      <c r="I1084" s="51">
        <f t="shared" si="170"/>
        <v>100000</v>
      </c>
      <c r="J1084" s="52">
        <f>+(F1084+H1084+I1084)/5300</f>
        <v>127.35849056603773</v>
      </c>
      <c r="K1084" s="53">
        <f t="shared" ref="K1084:K1103" si="171">+J1084*E1084</f>
        <v>127.35849056603773</v>
      </c>
      <c r="L1084" s="54">
        <f>J1084*E1084</f>
        <v>127.35849056603773</v>
      </c>
      <c r="M1084" s="245" t="s">
        <v>30</v>
      </c>
    </row>
    <row r="1085" spans="1:13">
      <c r="A1085" s="299" t="s">
        <v>797</v>
      </c>
      <c r="B1085" s="27" t="s">
        <v>796</v>
      </c>
      <c r="C1085" s="26" t="s">
        <v>798</v>
      </c>
      <c r="D1085" s="104" t="s">
        <v>85</v>
      </c>
      <c r="E1085" s="226">
        <v>1</v>
      </c>
      <c r="F1085" s="223">
        <v>300000</v>
      </c>
      <c r="G1085" s="2">
        <f t="shared" si="167"/>
        <v>300000</v>
      </c>
      <c r="H1085" s="238">
        <f t="shared" si="168"/>
        <v>45000</v>
      </c>
      <c r="I1085" s="51">
        <f t="shared" si="170"/>
        <v>60000</v>
      </c>
      <c r="J1085" s="52">
        <f>+(H1085+I1085+F1085)/5300</f>
        <v>76.415094339622641</v>
      </c>
      <c r="K1085" s="53">
        <f t="shared" si="171"/>
        <v>76.415094339622641</v>
      </c>
      <c r="L1085" s="52">
        <f>E1085*J1085</f>
        <v>76.415094339622641</v>
      </c>
      <c r="M1085" s="245" t="s">
        <v>93</v>
      </c>
    </row>
    <row r="1086" spans="1:13">
      <c r="A1086" s="299" t="s">
        <v>797</v>
      </c>
      <c r="B1086" s="27" t="s">
        <v>796</v>
      </c>
      <c r="C1086" s="26" t="s">
        <v>798</v>
      </c>
      <c r="D1086" s="224" t="s">
        <v>85</v>
      </c>
      <c r="E1086" s="226">
        <v>1</v>
      </c>
      <c r="F1086" s="223">
        <v>500000</v>
      </c>
      <c r="G1086" s="2">
        <f t="shared" si="167"/>
        <v>500000</v>
      </c>
      <c r="H1086" s="238">
        <f t="shared" si="168"/>
        <v>75000</v>
      </c>
      <c r="I1086" s="51">
        <f t="shared" si="170"/>
        <v>100000</v>
      </c>
      <c r="J1086" s="52">
        <f>+(F1086+H1086+I1086)/5300</f>
        <v>127.35849056603773</v>
      </c>
      <c r="K1086" s="52">
        <f t="shared" si="171"/>
        <v>127.35849056603773</v>
      </c>
      <c r="L1086" s="219"/>
      <c r="M1086" s="245" t="s">
        <v>87</v>
      </c>
    </row>
    <row r="1087" spans="1:13">
      <c r="A1087" s="299" t="s">
        <v>797</v>
      </c>
      <c r="B1087" s="27" t="s">
        <v>796</v>
      </c>
      <c r="C1087" s="26" t="s">
        <v>798</v>
      </c>
      <c r="D1087" s="26" t="s">
        <v>85</v>
      </c>
      <c r="E1087" s="226">
        <v>1</v>
      </c>
      <c r="F1087" s="223">
        <v>300000</v>
      </c>
      <c r="G1087" s="2">
        <f t="shared" si="167"/>
        <v>300000</v>
      </c>
      <c r="H1087" s="238">
        <f t="shared" si="168"/>
        <v>45000</v>
      </c>
      <c r="I1087" s="51">
        <f t="shared" si="170"/>
        <v>60000</v>
      </c>
      <c r="J1087" s="128">
        <f>+(F1087+H1087+I1087)/5300</f>
        <v>76.415094339622641</v>
      </c>
      <c r="K1087" s="53">
        <f t="shared" si="171"/>
        <v>76.415094339622641</v>
      </c>
      <c r="L1087" s="52">
        <f>E1087*J1087</f>
        <v>76.415094339622641</v>
      </c>
      <c r="M1087" s="245" t="s">
        <v>15</v>
      </c>
    </row>
    <row r="1088" spans="1:13">
      <c r="A1088" s="302" t="s">
        <v>780</v>
      </c>
      <c r="B1088" s="215" t="s">
        <v>799</v>
      </c>
      <c r="C1088" s="26" t="s">
        <v>782</v>
      </c>
      <c r="D1088" s="55" t="s">
        <v>783</v>
      </c>
      <c r="E1088" s="49">
        <v>8</v>
      </c>
      <c r="F1088" s="48">
        <v>150000</v>
      </c>
      <c r="G1088" s="9">
        <f t="shared" si="167"/>
        <v>1200000</v>
      </c>
      <c r="H1088" s="51">
        <f t="shared" si="168"/>
        <v>22500</v>
      </c>
      <c r="I1088" s="51">
        <f t="shared" si="170"/>
        <v>30000</v>
      </c>
      <c r="J1088" s="52">
        <f>+(F1088+H1088+I1088)/5300</f>
        <v>38.20754716981132</v>
      </c>
      <c r="K1088" s="53">
        <f t="shared" si="171"/>
        <v>305.66037735849056</v>
      </c>
      <c r="L1088" s="54">
        <f>J1088*E1088</f>
        <v>305.66037735849056</v>
      </c>
      <c r="M1088" s="245" t="s">
        <v>30</v>
      </c>
    </row>
    <row r="1089" spans="1:13">
      <c r="A1089" s="94" t="s">
        <v>21</v>
      </c>
      <c r="B1089" s="95" t="s">
        <v>799</v>
      </c>
      <c r="C1089" s="207" t="s">
        <v>800</v>
      </c>
      <c r="D1089" s="155" t="s">
        <v>794</v>
      </c>
      <c r="E1089" s="227">
        <v>35</v>
      </c>
      <c r="F1089" s="227">
        <v>50000</v>
      </c>
      <c r="G1089" s="212">
        <f t="shared" si="167"/>
        <v>1750000</v>
      </c>
      <c r="H1089" s="239">
        <f t="shared" si="168"/>
        <v>7500</v>
      </c>
      <c r="I1089" s="206">
        <f t="shared" si="170"/>
        <v>10000</v>
      </c>
      <c r="J1089" s="84">
        <f>+(F1089+H1089+I1089)/5300</f>
        <v>12.735849056603774</v>
      </c>
      <c r="K1089" s="241">
        <f t="shared" si="171"/>
        <v>445.75471698113211</v>
      </c>
      <c r="L1089" s="219"/>
      <c r="M1089" s="245" t="s">
        <v>20</v>
      </c>
    </row>
    <row r="1090" spans="1:13">
      <c r="A1090" s="1" t="s">
        <v>21</v>
      </c>
      <c r="B1090" s="95" t="s">
        <v>799</v>
      </c>
      <c r="C1090" s="26" t="s">
        <v>800</v>
      </c>
      <c r="D1090" s="104" t="s">
        <v>794</v>
      </c>
      <c r="E1090" s="226">
        <v>35</v>
      </c>
      <c r="F1090" s="223">
        <v>50000</v>
      </c>
      <c r="G1090" s="2">
        <f t="shared" si="167"/>
        <v>1750000</v>
      </c>
      <c r="H1090" s="51">
        <f t="shared" si="168"/>
        <v>7500</v>
      </c>
      <c r="I1090" s="51">
        <f>+F1090*0.15</f>
        <v>7500</v>
      </c>
      <c r="J1090" s="52">
        <f>+(I1090+H1090+F1090)/5300</f>
        <v>12.264150943396226</v>
      </c>
      <c r="K1090" s="52">
        <f t="shared" si="171"/>
        <v>429.24528301886789</v>
      </c>
      <c r="L1090" s="219"/>
      <c r="M1090" s="245" t="s">
        <v>89</v>
      </c>
    </row>
    <row r="1091" spans="1:13">
      <c r="A1091" s="94" t="s">
        <v>21</v>
      </c>
      <c r="B1091" s="95" t="s">
        <v>799</v>
      </c>
      <c r="C1091" s="26" t="s">
        <v>800</v>
      </c>
      <c r="D1091" s="104" t="s">
        <v>794</v>
      </c>
      <c r="E1091" s="226">
        <v>35</v>
      </c>
      <c r="F1091" s="223">
        <v>50000</v>
      </c>
      <c r="G1091" s="2">
        <f t="shared" si="167"/>
        <v>1750000</v>
      </c>
      <c r="H1091" s="238">
        <f t="shared" si="168"/>
        <v>7500</v>
      </c>
      <c r="I1091" s="51">
        <f t="shared" ref="I1091:I1097" si="172">+F1091*0.2</f>
        <v>10000</v>
      </c>
      <c r="J1091" s="240">
        <f>+(F1091+H1091+I1091)/5300</f>
        <v>12.735849056603774</v>
      </c>
      <c r="K1091" s="51">
        <f t="shared" si="171"/>
        <v>445.75471698113211</v>
      </c>
      <c r="L1091" s="240">
        <f>+J1091*E1091</f>
        <v>445.75471698113211</v>
      </c>
      <c r="M1091" s="245" t="s">
        <v>117</v>
      </c>
    </row>
    <row r="1092" spans="1:13">
      <c r="A1092" s="1" t="s">
        <v>21</v>
      </c>
      <c r="B1092" s="95" t="s">
        <v>799</v>
      </c>
      <c r="C1092" s="26" t="s">
        <v>800</v>
      </c>
      <c r="D1092" s="223" t="s">
        <v>794</v>
      </c>
      <c r="E1092" s="223">
        <v>55</v>
      </c>
      <c r="F1092" s="223">
        <v>50000</v>
      </c>
      <c r="G1092" s="2">
        <f t="shared" si="167"/>
        <v>2750000</v>
      </c>
      <c r="H1092" s="238">
        <f t="shared" si="168"/>
        <v>7500</v>
      </c>
      <c r="I1092" s="51">
        <f t="shared" si="172"/>
        <v>10000</v>
      </c>
      <c r="J1092" s="52">
        <f>+(F1092+H1092+I1092)/5300</f>
        <v>12.735849056603774</v>
      </c>
      <c r="K1092" s="53">
        <f t="shared" si="171"/>
        <v>700.47169811320759</v>
      </c>
      <c r="L1092" s="52">
        <f>J1092*E1092</f>
        <v>700.47169811320759</v>
      </c>
      <c r="M1092" s="245" t="s">
        <v>118</v>
      </c>
    </row>
    <row r="1093" spans="1:13">
      <c r="A1093" s="218" t="s">
        <v>21</v>
      </c>
      <c r="B1093" s="95" t="s">
        <v>799</v>
      </c>
      <c r="C1093" s="26" t="s">
        <v>800</v>
      </c>
      <c r="D1093" s="55" t="s">
        <v>794</v>
      </c>
      <c r="E1093" s="49">
        <v>12</v>
      </c>
      <c r="F1093" s="48">
        <v>50000</v>
      </c>
      <c r="G1093" s="9">
        <f t="shared" si="167"/>
        <v>600000</v>
      </c>
      <c r="H1093" s="51">
        <f t="shared" si="168"/>
        <v>7500</v>
      </c>
      <c r="I1093" s="51">
        <f t="shared" si="172"/>
        <v>10000</v>
      </c>
      <c r="J1093" s="52">
        <f>+(F1093+H1093+I1093)/5300</f>
        <v>12.735849056603774</v>
      </c>
      <c r="K1093" s="53">
        <f t="shared" si="171"/>
        <v>152.83018867924528</v>
      </c>
      <c r="L1093" s="54">
        <f>J1093*E1093</f>
        <v>152.83018867924528</v>
      </c>
      <c r="M1093" s="245" t="s">
        <v>30</v>
      </c>
    </row>
    <row r="1094" spans="1:13">
      <c r="A1094" s="94" t="s">
        <v>21</v>
      </c>
      <c r="B1094" s="95" t="s">
        <v>799</v>
      </c>
      <c r="C1094" s="26" t="s">
        <v>800</v>
      </c>
      <c r="D1094" s="104" t="s">
        <v>794</v>
      </c>
      <c r="E1094" s="226">
        <v>35</v>
      </c>
      <c r="F1094" s="223">
        <v>50000</v>
      </c>
      <c r="G1094" s="2">
        <f t="shared" si="167"/>
        <v>1750000</v>
      </c>
      <c r="H1094" s="238">
        <f t="shared" si="168"/>
        <v>7500</v>
      </c>
      <c r="I1094" s="51">
        <f t="shared" si="172"/>
        <v>10000</v>
      </c>
      <c r="J1094" s="52">
        <f>+(H1094+I1094+F1094)/5300</f>
        <v>12.735849056603774</v>
      </c>
      <c r="K1094" s="53">
        <f t="shared" si="171"/>
        <v>445.75471698113211</v>
      </c>
      <c r="L1094" s="52">
        <f>E1094*J1094</f>
        <v>445.75471698113211</v>
      </c>
      <c r="M1094" s="245" t="s">
        <v>93</v>
      </c>
    </row>
    <row r="1095" spans="1:13">
      <c r="A1095" s="94" t="s">
        <v>21</v>
      </c>
      <c r="B1095" s="95" t="s">
        <v>799</v>
      </c>
      <c r="C1095" s="26" t="s">
        <v>800</v>
      </c>
      <c r="D1095" s="104" t="s">
        <v>794</v>
      </c>
      <c r="E1095" s="226">
        <v>35</v>
      </c>
      <c r="F1095" s="223">
        <v>50000</v>
      </c>
      <c r="G1095" s="2">
        <f t="shared" si="167"/>
        <v>1750000</v>
      </c>
      <c r="H1095" s="238">
        <f t="shared" si="168"/>
        <v>7500</v>
      </c>
      <c r="I1095" s="51">
        <f t="shared" si="172"/>
        <v>10000</v>
      </c>
      <c r="J1095" s="52">
        <f>+(F1095+H1095+I1095)/5300</f>
        <v>12.735849056603774</v>
      </c>
      <c r="K1095" s="52">
        <f t="shared" si="171"/>
        <v>445.75471698113211</v>
      </c>
      <c r="L1095" s="219"/>
      <c r="M1095" s="245" t="s">
        <v>87</v>
      </c>
    </row>
    <row r="1096" spans="1:13">
      <c r="A1096" s="94" t="s">
        <v>21</v>
      </c>
      <c r="B1096" s="95" t="s">
        <v>799</v>
      </c>
      <c r="C1096" s="26" t="s">
        <v>800</v>
      </c>
      <c r="D1096" s="223" t="s">
        <v>794</v>
      </c>
      <c r="E1096" s="226">
        <v>35</v>
      </c>
      <c r="F1096" s="223">
        <v>50000</v>
      </c>
      <c r="G1096" s="2">
        <f t="shared" si="167"/>
        <v>1750000</v>
      </c>
      <c r="H1096" s="238">
        <f t="shared" si="168"/>
        <v>7500</v>
      </c>
      <c r="I1096" s="51">
        <f t="shared" si="172"/>
        <v>10000</v>
      </c>
      <c r="J1096" s="128">
        <f>+(F1096+H1096+I1096)/5300</f>
        <v>12.735849056603774</v>
      </c>
      <c r="K1096" s="53">
        <f t="shared" si="171"/>
        <v>445.75471698113211</v>
      </c>
      <c r="L1096" s="52">
        <f>E1096*J1096</f>
        <v>445.75471698113211</v>
      </c>
      <c r="M1096" s="245" t="s">
        <v>15</v>
      </c>
    </row>
    <row r="1097" spans="1:13">
      <c r="A1097" s="299" t="s">
        <v>780</v>
      </c>
      <c r="B1097" s="215" t="s">
        <v>801</v>
      </c>
      <c r="C1097" s="26" t="s">
        <v>782</v>
      </c>
      <c r="D1097" s="104" t="s">
        <v>783</v>
      </c>
      <c r="E1097" s="226">
        <v>2.5</v>
      </c>
      <c r="F1097" s="223">
        <v>150000</v>
      </c>
      <c r="G1097" s="2">
        <f t="shared" si="167"/>
        <v>375000</v>
      </c>
      <c r="H1097" s="238">
        <f t="shared" si="168"/>
        <v>22500</v>
      </c>
      <c r="I1097" s="51">
        <f t="shared" si="172"/>
        <v>30000</v>
      </c>
      <c r="J1097" s="52">
        <f>+(H1097+I1097+F1097)/5300</f>
        <v>38.20754716981132</v>
      </c>
      <c r="K1097" s="53">
        <f t="shared" si="171"/>
        <v>95.518867924528308</v>
      </c>
      <c r="L1097" s="52">
        <f>E1097*J1097</f>
        <v>95.518867924528308</v>
      </c>
      <c r="M1097" s="245" t="s">
        <v>93</v>
      </c>
    </row>
    <row r="1098" spans="1:13">
      <c r="A1098" s="301" t="s">
        <v>802</v>
      </c>
      <c r="B1098" s="214" t="s">
        <v>801</v>
      </c>
      <c r="C1098" s="26" t="s">
        <v>803</v>
      </c>
      <c r="D1098" s="26" t="s">
        <v>67</v>
      </c>
      <c r="E1098" s="226">
        <v>10</v>
      </c>
      <c r="F1098" s="223">
        <v>120000</v>
      </c>
      <c r="G1098" s="2">
        <f t="shared" si="167"/>
        <v>1200000</v>
      </c>
      <c r="H1098" s="51">
        <f t="shared" si="168"/>
        <v>18000</v>
      </c>
      <c r="I1098" s="51">
        <f>+F1098*0.15</f>
        <v>18000</v>
      </c>
      <c r="J1098" s="52">
        <f>+(I1098+H1098+F1098)/5300</f>
        <v>29.433962264150942</v>
      </c>
      <c r="K1098" s="52">
        <f t="shared" si="171"/>
        <v>294.33962264150944</v>
      </c>
      <c r="L1098" s="219"/>
      <c r="M1098" s="245" t="s">
        <v>89</v>
      </c>
    </row>
    <row r="1099" spans="1:13">
      <c r="A1099" s="301" t="s">
        <v>802</v>
      </c>
      <c r="B1099" s="214" t="s">
        <v>801</v>
      </c>
      <c r="C1099" s="26" t="s">
        <v>803</v>
      </c>
      <c r="D1099" s="26" t="s">
        <v>67</v>
      </c>
      <c r="E1099" s="223">
        <v>0</v>
      </c>
      <c r="F1099" s="223">
        <v>120000</v>
      </c>
      <c r="G1099" s="2">
        <f t="shared" si="167"/>
        <v>0</v>
      </c>
      <c r="H1099" s="238">
        <f t="shared" si="168"/>
        <v>18000</v>
      </c>
      <c r="I1099" s="51">
        <f t="shared" ref="I1099:I1109" si="173">+F1099*0.2</f>
        <v>24000</v>
      </c>
      <c r="J1099" s="52">
        <f t="shared" ref="J1099:J1104" si="174">+(F1099+H1099+I1099)/5300</f>
        <v>30.566037735849058</v>
      </c>
      <c r="K1099" s="53">
        <f t="shared" si="171"/>
        <v>0</v>
      </c>
      <c r="L1099" s="52">
        <f>J1099*E1099</f>
        <v>0</v>
      </c>
      <c r="M1099" s="245" t="s">
        <v>118</v>
      </c>
    </row>
    <row r="1100" spans="1:13">
      <c r="A1100" s="302" t="s">
        <v>802</v>
      </c>
      <c r="B1100" s="214" t="s">
        <v>801</v>
      </c>
      <c r="C1100" s="26" t="s">
        <v>803</v>
      </c>
      <c r="D1100" s="55" t="s">
        <v>67</v>
      </c>
      <c r="E1100" s="49">
        <v>10</v>
      </c>
      <c r="F1100" s="48">
        <v>30000</v>
      </c>
      <c r="G1100" s="9">
        <f t="shared" si="167"/>
        <v>300000</v>
      </c>
      <c r="H1100" s="51">
        <f t="shared" si="168"/>
        <v>4500</v>
      </c>
      <c r="I1100" s="51">
        <f t="shared" si="173"/>
        <v>6000</v>
      </c>
      <c r="J1100" s="52">
        <f t="shared" si="174"/>
        <v>7.6415094339622645</v>
      </c>
      <c r="K1100" s="53">
        <f t="shared" si="171"/>
        <v>76.415094339622641</v>
      </c>
      <c r="L1100" s="54">
        <f>J1100*E1100</f>
        <v>76.415094339622641</v>
      </c>
      <c r="M1100" s="245" t="s">
        <v>30</v>
      </c>
    </row>
    <row r="1101" spans="1:13">
      <c r="A1101" s="299" t="s">
        <v>802</v>
      </c>
      <c r="B1101" s="214" t="s">
        <v>801</v>
      </c>
      <c r="C1101" s="207" t="s">
        <v>804</v>
      </c>
      <c r="D1101" s="207" t="s">
        <v>67</v>
      </c>
      <c r="E1101" s="227">
        <v>12</v>
      </c>
      <c r="F1101" s="227">
        <v>120000</v>
      </c>
      <c r="G1101" s="212">
        <f t="shared" ref="G1101:G1116" si="175">F1101*E1101</f>
        <v>1440000</v>
      </c>
      <c r="H1101" s="239">
        <f t="shared" ref="H1101:H1116" si="176">+F1101*0.15</f>
        <v>18000</v>
      </c>
      <c r="I1101" s="206">
        <f t="shared" si="173"/>
        <v>24000</v>
      </c>
      <c r="J1101" s="84">
        <f t="shared" si="174"/>
        <v>30.566037735849058</v>
      </c>
      <c r="K1101" s="241">
        <f t="shared" si="171"/>
        <v>366.79245283018872</v>
      </c>
      <c r="L1101" s="219"/>
      <c r="M1101" s="245" t="s">
        <v>20</v>
      </c>
    </row>
    <row r="1102" spans="1:13">
      <c r="A1102" s="299" t="s">
        <v>802</v>
      </c>
      <c r="B1102" s="214" t="s">
        <v>801</v>
      </c>
      <c r="C1102" s="26" t="s">
        <v>805</v>
      </c>
      <c r="D1102" s="26" t="s">
        <v>67</v>
      </c>
      <c r="E1102" s="226">
        <v>9</v>
      </c>
      <c r="F1102" s="223">
        <v>150000</v>
      </c>
      <c r="G1102" s="2">
        <f t="shared" si="175"/>
        <v>1350000</v>
      </c>
      <c r="H1102" s="238">
        <f t="shared" si="176"/>
        <v>22500</v>
      </c>
      <c r="I1102" s="51">
        <f t="shared" si="173"/>
        <v>30000</v>
      </c>
      <c r="J1102" s="52">
        <f t="shared" si="174"/>
        <v>38.20754716981132</v>
      </c>
      <c r="K1102" s="52">
        <f t="shared" si="171"/>
        <v>343.8679245283019</v>
      </c>
      <c r="L1102" s="219"/>
      <c r="M1102" s="245" t="s">
        <v>87</v>
      </c>
    </row>
    <row r="1103" spans="1:13">
      <c r="A1103" s="299" t="s">
        <v>802</v>
      </c>
      <c r="B1103" s="214" t="s">
        <v>801</v>
      </c>
      <c r="C1103" s="26" t="s">
        <v>806</v>
      </c>
      <c r="D1103" s="26" t="s">
        <v>67</v>
      </c>
      <c r="E1103" s="226">
        <v>3</v>
      </c>
      <c r="F1103" s="223">
        <v>120000</v>
      </c>
      <c r="G1103" s="2">
        <f t="shared" si="175"/>
        <v>360000</v>
      </c>
      <c r="H1103" s="238">
        <f t="shared" si="176"/>
        <v>18000</v>
      </c>
      <c r="I1103" s="51">
        <f t="shared" si="173"/>
        <v>24000</v>
      </c>
      <c r="J1103" s="240">
        <f t="shared" si="174"/>
        <v>30.566037735849058</v>
      </c>
      <c r="K1103" s="51">
        <f t="shared" si="171"/>
        <v>91.698113207547181</v>
      </c>
      <c r="L1103" s="240">
        <f>+J1103*E1103</f>
        <v>91.698113207547181</v>
      </c>
      <c r="M1103" s="245" t="s">
        <v>117</v>
      </c>
    </row>
    <row r="1104" spans="1:13">
      <c r="A1104" s="299" t="s">
        <v>802</v>
      </c>
      <c r="B1104" s="214" t="s">
        <v>801</v>
      </c>
      <c r="C1104" s="26" t="s">
        <v>806</v>
      </c>
      <c r="D1104" s="26" t="s">
        <v>67</v>
      </c>
      <c r="E1104" s="226">
        <v>9</v>
      </c>
      <c r="F1104" s="235">
        <v>120000</v>
      </c>
      <c r="G1104" s="2">
        <f t="shared" si="175"/>
        <v>1080000</v>
      </c>
      <c r="H1104" s="51">
        <f t="shared" si="176"/>
        <v>18000</v>
      </c>
      <c r="I1104" s="51">
        <f t="shared" si="173"/>
        <v>24000</v>
      </c>
      <c r="J1104" s="84">
        <f t="shared" si="174"/>
        <v>30.566037735849058</v>
      </c>
      <c r="K1104" s="52">
        <f>J1104*E1104</f>
        <v>275.09433962264154</v>
      </c>
      <c r="L1104" s="219"/>
      <c r="M1104" s="245" t="s">
        <v>23</v>
      </c>
    </row>
    <row r="1105" spans="1:13">
      <c r="A1105" s="299" t="s">
        <v>802</v>
      </c>
      <c r="B1105" s="214" t="s">
        <v>801</v>
      </c>
      <c r="C1105" s="26" t="s">
        <v>807</v>
      </c>
      <c r="D1105" s="104" t="s">
        <v>67</v>
      </c>
      <c r="E1105" s="226">
        <v>5</v>
      </c>
      <c r="F1105" s="223">
        <v>120000</v>
      </c>
      <c r="G1105" s="2">
        <f t="shared" si="175"/>
        <v>600000</v>
      </c>
      <c r="H1105" s="238">
        <f t="shared" si="176"/>
        <v>18000</v>
      </c>
      <c r="I1105" s="51">
        <f t="shared" si="173"/>
        <v>24000</v>
      </c>
      <c r="J1105" s="52">
        <f>+(H1105+I1105+F1105)/5300</f>
        <v>30.566037735849058</v>
      </c>
      <c r="K1105" s="53">
        <f t="shared" ref="K1105:K1111" si="177">+J1105*E1105</f>
        <v>152.83018867924528</v>
      </c>
      <c r="L1105" s="52">
        <f>E1105*J1105</f>
        <v>152.83018867924528</v>
      </c>
      <c r="M1105" s="245" t="s">
        <v>93</v>
      </c>
    </row>
    <row r="1106" spans="1:13">
      <c r="A1106" s="299" t="s">
        <v>802</v>
      </c>
      <c r="B1106" s="214" t="s">
        <v>801</v>
      </c>
      <c r="C1106" s="26" t="s">
        <v>807</v>
      </c>
      <c r="D1106" s="26" t="s">
        <v>67</v>
      </c>
      <c r="E1106" s="226">
        <v>3</v>
      </c>
      <c r="F1106" s="223">
        <v>120000</v>
      </c>
      <c r="G1106" s="2">
        <f t="shared" si="175"/>
        <v>360000</v>
      </c>
      <c r="H1106" s="238">
        <f t="shared" si="176"/>
        <v>18000</v>
      </c>
      <c r="I1106" s="51">
        <f t="shared" si="173"/>
        <v>24000</v>
      </c>
      <c r="J1106" s="128">
        <f>+(F1106+H1106+I1106)/5300</f>
        <v>30.566037735849058</v>
      </c>
      <c r="K1106" s="53">
        <f t="shared" si="177"/>
        <v>91.698113207547181</v>
      </c>
      <c r="L1106" s="52">
        <f>E1106*J1106</f>
        <v>91.698113207547181</v>
      </c>
      <c r="M1106" s="245" t="s">
        <v>15</v>
      </c>
    </row>
    <row r="1107" spans="1:13">
      <c r="A1107" s="299">
        <v>2</v>
      </c>
      <c r="B1107" s="215" t="s">
        <v>808</v>
      </c>
      <c r="C1107" s="26" t="s">
        <v>809</v>
      </c>
      <c r="D1107" s="26" t="s">
        <v>175</v>
      </c>
      <c r="E1107" s="226">
        <v>1</v>
      </c>
      <c r="F1107" s="223">
        <v>250000</v>
      </c>
      <c r="G1107" s="2">
        <f t="shared" si="175"/>
        <v>250000</v>
      </c>
      <c r="H1107" s="238">
        <f t="shared" si="176"/>
        <v>37500</v>
      </c>
      <c r="I1107" s="51">
        <f t="shared" si="173"/>
        <v>50000</v>
      </c>
      <c r="J1107" s="240">
        <f>+(F1107+H1107+I1107)/5300</f>
        <v>63.679245283018865</v>
      </c>
      <c r="K1107" s="51">
        <f t="shared" si="177"/>
        <v>63.679245283018865</v>
      </c>
      <c r="L1107" s="240">
        <f>+J1107*E1107</f>
        <v>63.679245283018865</v>
      </c>
      <c r="M1107" s="245" t="s">
        <v>117</v>
      </c>
    </row>
    <row r="1108" spans="1:13">
      <c r="A1108" s="299" t="s">
        <v>780</v>
      </c>
      <c r="B1108" s="215" t="s">
        <v>808</v>
      </c>
      <c r="C1108" s="26" t="s">
        <v>782</v>
      </c>
      <c r="D1108" s="224" t="s">
        <v>783</v>
      </c>
      <c r="E1108" s="226">
        <v>2</v>
      </c>
      <c r="F1108" s="223">
        <v>150000</v>
      </c>
      <c r="G1108" s="2">
        <f t="shared" si="175"/>
        <v>300000</v>
      </c>
      <c r="H1108" s="238">
        <f t="shared" si="176"/>
        <v>22500</v>
      </c>
      <c r="I1108" s="51">
        <f t="shared" si="173"/>
        <v>30000</v>
      </c>
      <c r="J1108" s="52">
        <f>+(F1108+H1108+I1108)/5300</f>
        <v>38.20754716981132</v>
      </c>
      <c r="K1108" s="52">
        <f t="shared" si="177"/>
        <v>76.415094339622641</v>
      </c>
      <c r="L1108" s="219"/>
      <c r="M1108" s="245" t="s">
        <v>87</v>
      </c>
    </row>
    <row r="1109" spans="1:13">
      <c r="A1109" s="94" t="s">
        <v>762</v>
      </c>
      <c r="B1109" s="215" t="s">
        <v>808</v>
      </c>
      <c r="C1109" s="207" t="s">
        <v>809</v>
      </c>
      <c r="D1109" s="207" t="s">
        <v>85</v>
      </c>
      <c r="E1109" s="227">
        <v>4</v>
      </c>
      <c r="F1109" s="227">
        <v>250000</v>
      </c>
      <c r="G1109" s="212">
        <f t="shared" si="175"/>
        <v>1000000</v>
      </c>
      <c r="H1109" s="239">
        <f t="shared" si="176"/>
        <v>37500</v>
      </c>
      <c r="I1109" s="206">
        <f t="shared" si="173"/>
        <v>50000</v>
      </c>
      <c r="J1109" s="84">
        <f>+(F1109+H1109+I1109)/5300</f>
        <v>63.679245283018865</v>
      </c>
      <c r="K1109" s="241">
        <f t="shared" si="177"/>
        <v>254.71698113207546</v>
      </c>
      <c r="L1109" s="219"/>
      <c r="M1109" s="245" t="s">
        <v>20</v>
      </c>
    </row>
    <row r="1110" spans="1:13" ht="27.6">
      <c r="A1110" s="1" t="s">
        <v>762</v>
      </c>
      <c r="B1110" s="215" t="s">
        <v>808</v>
      </c>
      <c r="C1110" s="26" t="s">
        <v>809</v>
      </c>
      <c r="D1110" s="26" t="s">
        <v>810</v>
      </c>
      <c r="E1110" s="226">
        <v>3</v>
      </c>
      <c r="F1110" s="223">
        <v>80000</v>
      </c>
      <c r="G1110" s="2">
        <f t="shared" si="175"/>
        <v>240000</v>
      </c>
      <c r="H1110" s="51">
        <f t="shared" si="176"/>
        <v>12000</v>
      </c>
      <c r="I1110" s="51">
        <f>+F1110*0.15</f>
        <v>12000</v>
      </c>
      <c r="J1110" s="52">
        <f>+(I1110+H1110+F1110)/5300</f>
        <v>19.622641509433961</v>
      </c>
      <c r="K1110" s="52">
        <f t="shared" si="177"/>
        <v>58.867924528301884</v>
      </c>
      <c r="L1110" s="219"/>
      <c r="M1110" s="245" t="s">
        <v>89</v>
      </c>
    </row>
    <row r="1111" spans="1:13">
      <c r="A1111" s="1" t="s">
        <v>762</v>
      </c>
      <c r="B1111" s="215" t="s">
        <v>808</v>
      </c>
      <c r="C1111" s="26" t="s">
        <v>809</v>
      </c>
      <c r="D1111" s="26" t="s">
        <v>85</v>
      </c>
      <c r="E1111" s="223">
        <v>1</v>
      </c>
      <c r="F1111" s="223">
        <v>250000</v>
      </c>
      <c r="G1111" s="2">
        <f t="shared" si="175"/>
        <v>250000</v>
      </c>
      <c r="H1111" s="238">
        <f t="shared" si="176"/>
        <v>37500</v>
      </c>
      <c r="I1111" s="51">
        <f t="shared" ref="I1111:I1123" si="178">+F1111*0.2</f>
        <v>50000</v>
      </c>
      <c r="J1111" s="52">
        <f>+(F1111+H1111+I1111)/5300</f>
        <v>63.679245283018865</v>
      </c>
      <c r="K1111" s="53">
        <f t="shared" si="177"/>
        <v>63.679245283018865</v>
      </c>
      <c r="L1111" s="52">
        <f>J1111*E1111</f>
        <v>63.679245283018865</v>
      </c>
      <c r="M1111" s="245" t="s">
        <v>118</v>
      </c>
    </row>
    <row r="1112" spans="1:13">
      <c r="A1112" s="94" t="s">
        <v>762</v>
      </c>
      <c r="B1112" s="215" t="s">
        <v>808</v>
      </c>
      <c r="C1112" s="26" t="s">
        <v>809</v>
      </c>
      <c r="D1112" s="26" t="s">
        <v>85</v>
      </c>
      <c r="E1112" s="226">
        <v>3</v>
      </c>
      <c r="F1112" s="235">
        <v>80000</v>
      </c>
      <c r="G1112" s="2">
        <f t="shared" si="175"/>
        <v>240000</v>
      </c>
      <c r="H1112" s="51">
        <f t="shared" si="176"/>
        <v>12000</v>
      </c>
      <c r="I1112" s="51">
        <f t="shared" si="178"/>
        <v>16000</v>
      </c>
      <c r="J1112" s="84">
        <f>+(F1112+H1112+I1112)/5300</f>
        <v>20.377358490566039</v>
      </c>
      <c r="K1112" s="52">
        <f>J1112*E1112</f>
        <v>61.132075471698116</v>
      </c>
      <c r="L1112" s="219"/>
      <c r="M1112" s="245" t="s">
        <v>23</v>
      </c>
    </row>
    <row r="1113" spans="1:13">
      <c r="A1113" s="218" t="s">
        <v>762</v>
      </c>
      <c r="B1113" s="215" t="s">
        <v>808</v>
      </c>
      <c r="C1113" s="26" t="s">
        <v>809</v>
      </c>
      <c r="D1113" s="55" t="s">
        <v>810</v>
      </c>
      <c r="E1113" s="49">
        <v>3</v>
      </c>
      <c r="F1113" s="48">
        <v>250000</v>
      </c>
      <c r="G1113" s="9">
        <f t="shared" si="175"/>
        <v>750000</v>
      </c>
      <c r="H1113" s="51">
        <f t="shared" si="176"/>
        <v>37500</v>
      </c>
      <c r="I1113" s="51">
        <f t="shared" si="178"/>
        <v>50000</v>
      </c>
      <c r="J1113" s="52">
        <f>+(F1113+H1113+I1113)/5300</f>
        <v>63.679245283018865</v>
      </c>
      <c r="K1113" s="53">
        <f>+J1113*E1113</f>
        <v>191.03773584905659</v>
      </c>
      <c r="L1113" s="54">
        <f>J1113*E1113</f>
        <v>191.03773584905659</v>
      </c>
      <c r="M1113" s="245" t="s">
        <v>30</v>
      </c>
    </row>
    <row r="1114" spans="1:13">
      <c r="A1114" s="94" t="s">
        <v>762</v>
      </c>
      <c r="B1114" s="215" t="s">
        <v>808</v>
      </c>
      <c r="C1114" s="26" t="s">
        <v>809</v>
      </c>
      <c r="D1114" s="104" t="s">
        <v>175</v>
      </c>
      <c r="E1114" s="226">
        <v>1</v>
      </c>
      <c r="F1114" s="223">
        <v>250000</v>
      </c>
      <c r="G1114" s="2">
        <f t="shared" si="175"/>
        <v>250000</v>
      </c>
      <c r="H1114" s="238">
        <f t="shared" si="176"/>
        <v>37500</v>
      </c>
      <c r="I1114" s="51">
        <f t="shared" si="178"/>
        <v>50000</v>
      </c>
      <c r="J1114" s="52">
        <f>+(H1114+I1114+F1114)/5300</f>
        <v>63.679245283018865</v>
      </c>
      <c r="K1114" s="53">
        <f>+J1114*E1114</f>
        <v>63.679245283018865</v>
      </c>
      <c r="L1114" s="52">
        <f>E1114*J1114</f>
        <v>63.679245283018865</v>
      </c>
      <c r="M1114" s="245" t="s">
        <v>93</v>
      </c>
    </row>
    <row r="1115" spans="1:13">
      <c r="A1115" s="94" t="s">
        <v>762</v>
      </c>
      <c r="B1115" s="215" t="s">
        <v>808</v>
      </c>
      <c r="C1115" s="26" t="s">
        <v>809</v>
      </c>
      <c r="D1115" s="26" t="s">
        <v>85</v>
      </c>
      <c r="E1115" s="331">
        <v>2</v>
      </c>
      <c r="F1115" s="223">
        <v>250000</v>
      </c>
      <c r="G1115" s="334">
        <f t="shared" si="175"/>
        <v>500000</v>
      </c>
      <c r="H1115" s="238">
        <f t="shared" si="176"/>
        <v>37500</v>
      </c>
      <c r="I1115" s="51">
        <f t="shared" si="178"/>
        <v>50000</v>
      </c>
      <c r="J1115" s="52">
        <f>+(F1115+H1115+I1115)/5300</f>
        <v>63.679245283018865</v>
      </c>
      <c r="K1115" s="52">
        <f>+J1115*E1115</f>
        <v>127.35849056603773</v>
      </c>
      <c r="L1115" s="219"/>
      <c r="M1115" s="245" t="s">
        <v>87</v>
      </c>
    </row>
    <row r="1116" spans="1:13">
      <c r="A1116" s="94" t="s">
        <v>762</v>
      </c>
      <c r="B1116" s="215" t="s">
        <v>808</v>
      </c>
      <c r="C1116" s="26" t="s">
        <v>809</v>
      </c>
      <c r="D1116" s="26" t="s">
        <v>175</v>
      </c>
      <c r="E1116" s="226">
        <v>1</v>
      </c>
      <c r="F1116" s="223">
        <v>250000</v>
      </c>
      <c r="G1116" s="2">
        <f t="shared" si="175"/>
        <v>250000</v>
      </c>
      <c r="H1116" s="238">
        <f t="shared" si="176"/>
        <v>37500</v>
      </c>
      <c r="I1116" s="51">
        <f t="shared" si="178"/>
        <v>50000</v>
      </c>
      <c r="J1116" s="128">
        <f>+(F1116+H1116+I1116)/5300</f>
        <v>63.679245283018865</v>
      </c>
      <c r="K1116" s="53">
        <f>+J1116*E1116</f>
        <v>63.679245283018865</v>
      </c>
      <c r="L1116" s="52">
        <f>E1116*J1116</f>
        <v>63.679245283018865</v>
      </c>
      <c r="M1116" s="245" t="s">
        <v>15</v>
      </c>
    </row>
    <row r="1117" spans="1:13">
      <c r="A1117" s="280">
        <v>2</v>
      </c>
      <c r="B1117" s="13" t="s">
        <v>811</v>
      </c>
      <c r="C1117" s="146" t="s">
        <v>812</v>
      </c>
      <c r="D1117" s="146"/>
      <c r="E1117" s="213"/>
      <c r="F1117" s="147"/>
      <c r="G1117" s="236"/>
      <c r="H1117" s="239"/>
      <c r="I1117" s="206">
        <f t="shared" si="178"/>
        <v>0</v>
      </c>
      <c r="J1117" s="84"/>
      <c r="K1117" s="241"/>
      <c r="L1117" s="219"/>
      <c r="M1117" s="245" t="s">
        <v>20</v>
      </c>
    </row>
    <row r="1118" spans="1:13" s="340" customFormat="1">
      <c r="A1118" s="281">
        <v>2</v>
      </c>
      <c r="B1118" s="13" t="s">
        <v>811</v>
      </c>
      <c r="C1118" s="6" t="s">
        <v>812</v>
      </c>
      <c r="D1118" s="6"/>
      <c r="E1118" s="45"/>
      <c r="F1118" s="6"/>
      <c r="G1118" s="2"/>
      <c r="H1118" s="51">
        <f>+F1118*0.15</f>
        <v>0</v>
      </c>
      <c r="I1118" s="51">
        <f t="shared" si="178"/>
        <v>0</v>
      </c>
      <c r="J1118" s="52"/>
      <c r="K1118" s="52"/>
      <c r="L1118" s="219"/>
      <c r="M1118" s="245" t="s">
        <v>89</v>
      </c>
    </row>
    <row r="1119" spans="1:13" s="340" customFormat="1">
      <c r="A1119" s="280">
        <v>2</v>
      </c>
      <c r="B1119" s="13" t="s">
        <v>811</v>
      </c>
      <c r="C1119" s="6" t="s">
        <v>812</v>
      </c>
      <c r="D1119" s="6"/>
      <c r="E1119" s="45"/>
      <c r="F1119" s="234"/>
      <c r="G1119" s="2"/>
      <c r="H1119" s="51"/>
      <c r="I1119" s="51">
        <f t="shared" si="178"/>
        <v>0</v>
      </c>
      <c r="J1119" s="241"/>
      <c r="K1119" s="52"/>
      <c r="L1119" s="219"/>
      <c r="M1119" s="245" t="s">
        <v>23</v>
      </c>
    </row>
    <row r="1120" spans="1:13" s="340" customFormat="1">
      <c r="A1120" s="151">
        <v>2</v>
      </c>
      <c r="B1120" s="13" t="s">
        <v>811</v>
      </c>
      <c r="C1120" s="6" t="s">
        <v>812</v>
      </c>
      <c r="D1120" s="23"/>
      <c r="E1120" s="65"/>
      <c r="F1120" s="23"/>
      <c r="G1120" s="9"/>
      <c r="H1120" s="69"/>
      <c r="I1120" s="69">
        <f t="shared" si="178"/>
        <v>0</v>
      </c>
      <c r="J1120" s="54"/>
      <c r="K1120" s="73"/>
      <c r="L1120" s="54"/>
      <c r="M1120" s="245" t="s">
        <v>30</v>
      </c>
    </row>
    <row r="1121" spans="1:13">
      <c r="A1121" s="280">
        <v>2</v>
      </c>
      <c r="B1121" s="13" t="s">
        <v>811</v>
      </c>
      <c r="C1121" s="6" t="s">
        <v>812</v>
      </c>
      <c r="D1121" s="156"/>
      <c r="E1121" s="45"/>
      <c r="F1121" s="6"/>
      <c r="G1121" s="2"/>
      <c r="H1121" s="238">
        <f>+F1121*0.15</f>
        <v>0</v>
      </c>
      <c r="I1121" s="51">
        <f t="shared" si="178"/>
        <v>0</v>
      </c>
      <c r="J1121" s="52"/>
      <c r="K1121" s="53"/>
      <c r="L1121" s="52"/>
      <c r="M1121" s="245" t="s">
        <v>93</v>
      </c>
    </row>
    <row r="1122" spans="1:13">
      <c r="A1122" s="280">
        <v>2</v>
      </c>
      <c r="B1122" s="13" t="s">
        <v>811</v>
      </c>
      <c r="C1122" s="6" t="s">
        <v>812</v>
      </c>
      <c r="D1122" s="6"/>
      <c r="E1122" s="45"/>
      <c r="F1122" s="6"/>
      <c r="G1122" s="2"/>
      <c r="H1122" s="238"/>
      <c r="I1122" s="51">
        <f t="shared" si="178"/>
        <v>0</v>
      </c>
      <c r="J1122" s="52"/>
      <c r="K1122" s="52"/>
      <c r="L1122" s="219"/>
      <c r="M1122" s="245" t="s">
        <v>87</v>
      </c>
    </row>
    <row r="1123" spans="1:13">
      <c r="A1123" s="280">
        <v>2</v>
      </c>
      <c r="B1123" s="13" t="s">
        <v>811</v>
      </c>
      <c r="C1123" s="6" t="s">
        <v>812</v>
      </c>
      <c r="D1123" s="6"/>
      <c r="E1123" s="45"/>
      <c r="F1123" s="6"/>
      <c r="G1123" s="2"/>
      <c r="H1123" s="238"/>
      <c r="I1123" s="51">
        <f t="shared" si="178"/>
        <v>0</v>
      </c>
      <c r="J1123" s="128"/>
      <c r="K1123" s="53"/>
      <c r="L1123" s="52"/>
      <c r="M1123" s="245" t="s">
        <v>15</v>
      </c>
    </row>
    <row r="1124" spans="1:13">
      <c r="A1124" s="151">
        <v>2</v>
      </c>
      <c r="B1124" s="13" t="s">
        <v>811</v>
      </c>
      <c r="C1124" s="6" t="s">
        <v>812</v>
      </c>
      <c r="D1124" s="23"/>
      <c r="E1124" s="65"/>
      <c r="F1124" s="23"/>
      <c r="G1124" s="9">
        <f>F1124*E1124</f>
        <v>0</v>
      </c>
      <c r="H1124" s="51">
        <f>+F1124*0.15</f>
        <v>0</v>
      </c>
      <c r="I1124" s="51">
        <f>+F1124*0.15</f>
        <v>0</v>
      </c>
      <c r="J1124" s="128"/>
      <c r="K1124" s="53"/>
      <c r="L1124" s="52"/>
      <c r="M1124" s="245" t="s">
        <v>17</v>
      </c>
    </row>
    <row r="1125" spans="1:13">
      <c r="A1125" s="151">
        <v>2</v>
      </c>
      <c r="B1125" s="13" t="s">
        <v>811</v>
      </c>
      <c r="C1125" s="6" t="s">
        <v>812</v>
      </c>
      <c r="D1125" s="23"/>
      <c r="E1125" s="65"/>
      <c r="F1125" s="23"/>
      <c r="G1125" s="9"/>
      <c r="H1125" s="51"/>
      <c r="I1125" s="51">
        <f t="shared" ref="I1125:I1132" si="179">+F1125*0.2</f>
        <v>0</v>
      </c>
      <c r="J1125" s="128"/>
      <c r="K1125" s="53"/>
      <c r="L1125" s="52"/>
      <c r="M1125" s="245" t="s">
        <v>17</v>
      </c>
    </row>
    <row r="1126" spans="1:13">
      <c r="A1126" s="94" t="s">
        <v>212</v>
      </c>
      <c r="B1126" s="95" t="s">
        <v>813</v>
      </c>
      <c r="C1126" s="207" t="s">
        <v>458</v>
      </c>
      <c r="D1126" s="207" t="s">
        <v>67</v>
      </c>
      <c r="E1126" s="227">
        <v>30</v>
      </c>
      <c r="F1126" s="236">
        <v>20000</v>
      </c>
      <c r="G1126" s="236">
        <f t="shared" ref="G1126:G1143" si="180">F1126*E1126</f>
        <v>600000</v>
      </c>
      <c r="H1126" s="239">
        <f t="shared" ref="H1126:H1143" si="181">+F1126*0.15</f>
        <v>3000</v>
      </c>
      <c r="I1126" s="206">
        <f t="shared" si="179"/>
        <v>4000</v>
      </c>
      <c r="J1126" s="84">
        <f t="shared" ref="J1126:J1143" si="182">+(F1126+H1126+I1126)/5300</f>
        <v>5.0943396226415096</v>
      </c>
      <c r="K1126" s="241">
        <f>J1126*E1126</f>
        <v>152.83018867924528</v>
      </c>
      <c r="L1126" s="219"/>
      <c r="M1126" s="245" t="s">
        <v>20</v>
      </c>
    </row>
    <row r="1127" spans="1:13">
      <c r="A1127" s="1" t="s">
        <v>212</v>
      </c>
      <c r="B1127" s="95" t="s">
        <v>813</v>
      </c>
      <c r="C1127" s="26" t="s">
        <v>458</v>
      </c>
      <c r="D1127" s="26" t="s">
        <v>67</v>
      </c>
      <c r="E1127" s="226">
        <v>30</v>
      </c>
      <c r="F1127" s="223">
        <v>20000</v>
      </c>
      <c r="G1127" s="2">
        <f t="shared" si="180"/>
        <v>600000</v>
      </c>
      <c r="H1127" s="51">
        <f t="shared" si="181"/>
        <v>3000</v>
      </c>
      <c r="I1127" s="51">
        <f t="shared" si="179"/>
        <v>4000</v>
      </c>
      <c r="J1127" s="52">
        <f t="shared" si="182"/>
        <v>5.0943396226415096</v>
      </c>
      <c r="K1127" s="52">
        <f t="shared" ref="K1127:K1134" si="183">+J1127*E1127</f>
        <v>152.83018867924528</v>
      </c>
      <c r="L1127" s="219"/>
      <c r="M1127" s="245" t="s">
        <v>89</v>
      </c>
    </row>
    <row r="1128" spans="1:13">
      <c r="A1128" s="94" t="s">
        <v>212</v>
      </c>
      <c r="B1128" s="95" t="s">
        <v>813</v>
      </c>
      <c r="C1128" s="26" t="s">
        <v>458</v>
      </c>
      <c r="D1128" s="26" t="s">
        <v>67</v>
      </c>
      <c r="E1128" s="226">
        <v>30</v>
      </c>
      <c r="F1128" s="235">
        <v>20000</v>
      </c>
      <c r="G1128" s="2">
        <f t="shared" si="180"/>
        <v>600000</v>
      </c>
      <c r="H1128" s="51">
        <f t="shared" si="181"/>
        <v>3000</v>
      </c>
      <c r="I1128" s="51">
        <f t="shared" si="179"/>
        <v>4000</v>
      </c>
      <c r="J1128" s="241">
        <f t="shared" si="182"/>
        <v>5.0943396226415096</v>
      </c>
      <c r="K1128" s="52">
        <f t="shared" si="183"/>
        <v>152.83018867924528</v>
      </c>
      <c r="L1128" s="219"/>
      <c r="M1128" s="245" t="s">
        <v>23</v>
      </c>
    </row>
    <row r="1129" spans="1:13">
      <c r="A1129" s="218" t="s">
        <v>212</v>
      </c>
      <c r="B1129" s="95" t="s">
        <v>813</v>
      </c>
      <c r="C1129" s="26" t="s">
        <v>458</v>
      </c>
      <c r="D1129" s="25" t="s">
        <v>67</v>
      </c>
      <c r="E1129" s="49">
        <v>30</v>
      </c>
      <c r="F1129" s="48">
        <v>20000</v>
      </c>
      <c r="G1129" s="9">
        <f t="shared" si="180"/>
        <v>600000</v>
      </c>
      <c r="H1129" s="69">
        <f t="shared" si="181"/>
        <v>3000</v>
      </c>
      <c r="I1129" s="69">
        <f t="shared" si="179"/>
        <v>4000</v>
      </c>
      <c r="J1129" s="54">
        <f t="shared" si="182"/>
        <v>5.0943396226415096</v>
      </c>
      <c r="K1129" s="73">
        <f t="shared" si="183"/>
        <v>152.83018867924528</v>
      </c>
      <c r="L1129" s="54">
        <f>+J1129*E1129</f>
        <v>152.83018867924528</v>
      </c>
      <c r="M1129" s="245" t="s">
        <v>30</v>
      </c>
    </row>
    <row r="1130" spans="1:13">
      <c r="A1130" s="94" t="s">
        <v>212</v>
      </c>
      <c r="B1130" s="95" t="s">
        <v>813</v>
      </c>
      <c r="C1130" s="26" t="s">
        <v>458</v>
      </c>
      <c r="D1130" s="104" t="s">
        <v>67</v>
      </c>
      <c r="E1130" s="226">
        <v>30</v>
      </c>
      <c r="F1130" s="223">
        <v>20000</v>
      </c>
      <c r="G1130" s="2">
        <f t="shared" si="180"/>
        <v>600000</v>
      </c>
      <c r="H1130" s="238">
        <f t="shared" si="181"/>
        <v>3000</v>
      </c>
      <c r="I1130" s="51">
        <f t="shared" si="179"/>
        <v>4000</v>
      </c>
      <c r="J1130" s="52">
        <f t="shared" si="182"/>
        <v>5.0943396226415096</v>
      </c>
      <c r="K1130" s="53">
        <f t="shared" si="183"/>
        <v>152.83018867924528</v>
      </c>
      <c r="L1130" s="52">
        <f>J1130*E1130</f>
        <v>152.83018867924528</v>
      </c>
      <c r="M1130" s="245" t="s">
        <v>93</v>
      </c>
    </row>
    <row r="1131" spans="1:13">
      <c r="A1131" s="94" t="s">
        <v>212</v>
      </c>
      <c r="B1131" s="95" t="s">
        <v>813</v>
      </c>
      <c r="C1131" s="26" t="s">
        <v>458</v>
      </c>
      <c r="D1131" s="26" t="s">
        <v>67</v>
      </c>
      <c r="E1131" s="226">
        <v>30</v>
      </c>
      <c r="F1131" s="223">
        <v>20000</v>
      </c>
      <c r="G1131" s="2">
        <f t="shared" si="180"/>
        <v>600000</v>
      </c>
      <c r="H1131" s="238">
        <f t="shared" si="181"/>
        <v>3000</v>
      </c>
      <c r="I1131" s="51">
        <f t="shared" si="179"/>
        <v>4000</v>
      </c>
      <c r="J1131" s="52">
        <f t="shared" si="182"/>
        <v>5.0943396226415096</v>
      </c>
      <c r="K1131" s="52">
        <f t="shared" si="183"/>
        <v>152.83018867924528</v>
      </c>
      <c r="L1131" s="219"/>
      <c r="M1131" s="245" t="s">
        <v>87</v>
      </c>
    </row>
    <row r="1132" spans="1:13">
      <c r="A1132" s="94" t="s">
        <v>212</v>
      </c>
      <c r="B1132" s="95" t="s">
        <v>813</v>
      </c>
      <c r="C1132" s="26" t="s">
        <v>458</v>
      </c>
      <c r="D1132" s="26" t="s">
        <v>67</v>
      </c>
      <c r="E1132" s="226">
        <v>30</v>
      </c>
      <c r="F1132" s="223">
        <v>20000</v>
      </c>
      <c r="G1132" s="2">
        <f t="shared" si="180"/>
        <v>600000</v>
      </c>
      <c r="H1132" s="238">
        <f t="shared" si="181"/>
        <v>3000</v>
      </c>
      <c r="I1132" s="51">
        <f t="shared" si="179"/>
        <v>4000</v>
      </c>
      <c r="J1132" s="128">
        <f t="shared" si="182"/>
        <v>5.0943396226415096</v>
      </c>
      <c r="K1132" s="53">
        <f t="shared" si="183"/>
        <v>152.83018867924528</v>
      </c>
      <c r="L1132" s="52">
        <f>E1132*J1132</f>
        <v>152.83018867924528</v>
      </c>
      <c r="M1132" s="245" t="s">
        <v>15</v>
      </c>
    </row>
    <row r="1133" spans="1:13">
      <c r="A1133" s="218" t="s">
        <v>212</v>
      </c>
      <c r="B1133" s="95" t="s">
        <v>813</v>
      </c>
      <c r="C1133" s="26" t="s">
        <v>458</v>
      </c>
      <c r="D1133" s="25" t="s">
        <v>67</v>
      </c>
      <c r="E1133" s="49">
        <v>30</v>
      </c>
      <c r="F1133" s="48">
        <v>20000</v>
      </c>
      <c r="G1133" s="9">
        <f t="shared" si="180"/>
        <v>600000</v>
      </c>
      <c r="H1133" s="51">
        <f t="shared" si="181"/>
        <v>3000</v>
      </c>
      <c r="I1133" s="51">
        <f>+F1133*0.15</f>
        <v>3000</v>
      </c>
      <c r="J1133" s="128">
        <f t="shared" si="182"/>
        <v>4.9056603773584904</v>
      </c>
      <c r="K1133" s="53">
        <f t="shared" si="183"/>
        <v>147.16981132075472</v>
      </c>
      <c r="L1133" s="52">
        <f>J1133*E1133</f>
        <v>147.16981132075472</v>
      </c>
      <c r="M1133" s="245" t="s">
        <v>17</v>
      </c>
    </row>
    <row r="1134" spans="1:13">
      <c r="A1134" s="218" t="s">
        <v>212</v>
      </c>
      <c r="B1134" s="95" t="s">
        <v>813</v>
      </c>
      <c r="C1134" s="26" t="s">
        <v>458</v>
      </c>
      <c r="D1134" s="25" t="s">
        <v>67</v>
      </c>
      <c r="E1134" s="49">
        <v>60</v>
      </c>
      <c r="F1134" s="48">
        <v>20000</v>
      </c>
      <c r="G1134" s="9">
        <f t="shared" si="180"/>
        <v>1200000</v>
      </c>
      <c r="H1134" s="51">
        <f t="shared" si="181"/>
        <v>3000</v>
      </c>
      <c r="I1134" s="51">
        <f t="shared" ref="I1134:I1141" si="184">+F1134*0.2</f>
        <v>4000</v>
      </c>
      <c r="J1134" s="128">
        <f t="shared" si="182"/>
        <v>5.0943396226415096</v>
      </c>
      <c r="K1134" s="53">
        <f t="shared" si="183"/>
        <v>305.66037735849056</v>
      </c>
      <c r="L1134" s="52">
        <f>J1134*E1134</f>
        <v>305.66037735849056</v>
      </c>
      <c r="M1134" s="245" t="s">
        <v>17</v>
      </c>
    </row>
    <row r="1135" spans="1:13">
      <c r="A1135" s="94" t="s">
        <v>814</v>
      </c>
      <c r="B1135" s="95" t="s">
        <v>815</v>
      </c>
      <c r="C1135" s="207" t="s">
        <v>460</v>
      </c>
      <c r="D1135" s="207" t="s">
        <v>67</v>
      </c>
      <c r="E1135" s="227">
        <v>24</v>
      </c>
      <c r="F1135" s="236">
        <v>25000</v>
      </c>
      <c r="G1135" s="236">
        <f t="shared" si="180"/>
        <v>600000</v>
      </c>
      <c r="H1135" s="239">
        <f t="shared" si="181"/>
        <v>3750</v>
      </c>
      <c r="I1135" s="206">
        <f t="shared" si="184"/>
        <v>5000</v>
      </c>
      <c r="J1135" s="84">
        <f t="shared" si="182"/>
        <v>6.367924528301887</v>
      </c>
      <c r="K1135" s="241">
        <f>J1135*E1135</f>
        <v>152.83018867924528</v>
      </c>
      <c r="L1135" s="219"/>
      <c r="M1135" s="245" t="s">
        <v>20</v>
      </c>
    </row>
    <row r="1136" spans="1:13">
      <c r="A1136" s="1" t="s">
        <v>814</v>
      </c>
      <c r="B1136" s="95" t="s">
        <v>815</v>
      </c>
      <c r="C1136" s="26" t="s">
        <v>460</v>
      </c>
      <c r="D1136" s="26" t="s">
        <v>67</v>
      </c>
      <c r="E1136" s="226">
        <v>24</v>
      </c>
      <c r="F1136" s="223">
        <v>25000</v>
      </c>
      <c r="G1136" s="2">
        <f t="shared" si="180"/>
        <v>600000</v>
      </c>
      <c r="H1136" s="51">
        <f t="shared" si="181"/>
        <v>3750</v>
      </c>
      <c r="I1136" s="51">
        <f t="shared" si="184"/>
        <v>5000</v>
      </c>
      <c r="J1136" s="52">
        <f t="shared" si="182"/>
        <v>6.367924528301887</v>
      </c>
      <c r="K1136" s="52">
        <f t="shared" ref="K1136:K1143" si="185">+J1136*E1136</f>
        <v>152.83018867924528</v>
      </c>
      <c r="L1136" s="219"/>
      <c r="M1136" s="245" t="s">
        <v>89</v>
      </c>
    </row>
    <row r="1137" spans="1:13">
      <c r="A1137" s="94" t="s">
        <v>814</v>
      </c>
      <c r="B1137" s="95" t="s">
        <v>815</v>
      </c>
      <c r="C1137" s="26" t="s">
        <v>460</v>
      </c>
      <c r="D1137" s="26" t="s">
        <v>67</v>
      </c>
      <c r="E1137" s="226">
        <v>24</v>
      </c>
      <c r="F1137" s="235">
        <v>25000</v>
      </c>
      <c r="G1137" s="2">
        <f t="shared" si="180"/>
        <v>600000</v>
      </c>
      <c r="H1137" s="51">
        <f t="shared" si="181"/>
        <v>3750</v>
      </c>
      <c r="I1137" s="51">
        <f t="shared" si="184"/>
        <v>5000</v>
      </c>
      <c r="J1137" s="241">
        <f t="shared" si="182"/>
        <v>6.367924528301887</v>
      </c>
      <c r="K1137" s="52">
        <f t="shared" si="185"/>
        <v>152.83018867924528</v>
      </c>
      <c r="L1137" s="219"/>
      <c r="M1137" s="245" t="s">
        <v>23</v>
      </c>
    </row>
    <row r="1138" spans="1:13">
      <c r="A1138" s="218" t="s">
        <v>814</v>
      </c>
      <c r="B1138" s="95" t="s">
        <v>815</v>
      </c>
      <c r="C1138" s="26" t="s">
        <v>460</v>
      </c>
      <c r="D1138" s="25" t="s">
        <v>67</v>
      </c>
      <c r="E1138" s="49">
        <v>24</v>
      </c>
      <c r="F1138" s="48">
        <v>25000</v>
      </c>
      <c r="G1138" s="9">
        <f t="shared" si="180"/>
        <v>600000</v>
      </c>
      <c r="H1138" s="69">
        <f t="shared" si="181"/>
        <v>3750</v>
      </c>
      <c r="I1138" s="69">
        <f t="shared" si="184"/>
        <v>5000</v>
      </c>
      <c r="J1138" s="54">
        <f t="shared" si="182"/>
        <v>6.367924528301887</v>
      </c>
      <c r="K1138" s="73">
        <f t="shared" si="185"/>
        <v>152.83018867924528</v>
      </c>
      <c r="L1138" s="54">
        <f>+J1138*E1138</f>
        <v>152.83018867924528</v>
      </c>
      <c r="M1138" s="245" t="s">
        <v>30</v>
      </c>
    </row>
    <row r="1139" spans="1:13">
      <c r="A1139" s="94" t="s">
        <v>814</v>
      </c>
      <c r="B1139" s="95" t="s">
        <v>815</v>
      </c>
      <c r="C1139" s="26" t="s">
        <v>460</v>
      </c>
      <c r="D1139" s="104" t="s">
        <v>67</v>
      </c>
      <c r="E1139" s="226">
        <v>24</v>
      </c>
      <c r="F1139" s="223">
        <v>25000</v>
      </c>
      <c r="G1139" s="2">
        <f t="shared" si="180"/>
        <v>600000</v>
      </c>
      <c r="H1139" s="238">
        <f t="shared" si="181"/>
        <v>3750</v>
      </c>
      <c r="I1139" s="51">
        <f t="shared" si="184"/>
        <v>5000</v>
      </c>
      <c r="J1139" s="52">
        <f t="shared" si="182"/>
        <v>6.367924528301887</v>
      </c>
      <c r="K1139" s="53">
        <f t="shared" si="185"/>
        <v>152.83018867924528</v>
      </c>
      <c r="L1139" s="52">
        <f>J1139*E1139</f>
        <v>152.83018867924528</v>
      </c>
      <c r="M1139" s="245" t="s">
        <v>93</v>
      </c>
    </row>
    <row r="1140" spans="1:13">
      <c r="A1140" s="94" t="s">
        <v>814</v>
      </c>
      <c r="B1140" s="95" t="s">
        <v>815</v>
      </c>
      <c r="C1140" s="26" t="s">
        <v>460</v>
      </c>
      <c r="D1140" s="26" t="s">
        <v>67</v>
      </c>
      <c r="E1140" s="226">
        <v>24</v>
      </c>
      <c r="F1140" s="223">
        <v>25000</v>
      </c>
      <c r="G1140" s="2">
        <f t="shared" si="180"/>
        <v>600000</v>
      </c>
      <c r="H1140" s="238">
        <f t="shared" si="181"/>
        <v>3750</v>
      </c>
      <c r="I1140" s="51">
        <f t="shared" si="184"/>
        <v>5000</v>
      </c>
      <c r="J1140" s="52">
        <f t="shared" si="182"/>
        <v>6.367924528301887</v>
      </c>
      <c r="K1140" s="52">
        <f t="shared" si="185"/>
        <v>152.83018867924528</v>
      </c>
      <c r="L1140" s="219"/>
      <c r="M1140" s="245" t="s">
        <v>87</v>
      </c>
    </row>
    <row r="1141" spans="1:13">
      <c r="A1141" s="94" t="s">
        <v>814</v>
      </c>
      <c r="B1141" s="95" t="s">
        <v>815</v>
      </c>
      <c r="C1141" s="26" t="s">
        <v>460</v>
      </c>
      <c r="D1141" s="26" t="s">
        <v>67</v>
      </c>
      <c r="E1141" s="226">
        <v>24</v>
      </c>
      <c r="F1141" s="223">
        <v>25000</v>
      </c>
      <c r="G1141" s="2">
        <f t="shared" si="180"/>
        <v>600000</v>
      </c>
      <c r="H1141" s="238">
        <f t="shared" si="181"/>
        <v>3750</v>
      </c>
      <c r="I1141" s="51">
        <f t="shared" si="184"/>
        <v>5000</v>
      </c>
      <c r="J1141" s="128">
        <f t="shared" si="182"/>
        <v>6.367924528301887</v>
      </c>
      <c r="K1141" s="53">
        <f t="shared" si="185"/>
        <v>152.83018867924528</v>
      </c>
      <c r="L1141" s="52">
        <f>E1141*J1141</f>
        <v>152.83018867924528</v>
      </c>
      <c r="M1141" s="245" t="s">
        <v>15</v>
      </c>
    </row>
    <row r="1142" spans="1:13">
      <c r="A1142" s="218" t="s">
        <v>814</v>
      </c>
      <c r="B1142" s="95" t="s">
        <v>815</v>
      </c>
      <c r="C1142" s="26" t="s">
        <v>460</v>
      </c>
      <c r="D1142" s="25" t="s">
        <v>67</v>
      </c>
      <c r="E1142" s="49">
        <v>24</v>
      </c>
      <c r="F1142" s="48">
        <v>25000</v>
      </c>
      <c r="G1142" s="9">
        <f t="shared" si="180"/>
        <v>600000</v>
      </c>
      <c r="H1142" s="51">
        <f t="shared" si="181"/>
        <v>3750</v>
      </c>
      <c r="I1142" s="51">
        <f>+F1142*0.15</f>
        <v>3750</v>
      </c>
      <c r="J1142" s="128">
        <f t="shared" si="182"/>
        <v>6.132075471698113</v>
      </c>
      <c r="K1142" s="53">
        <f t="shared" si="185"/>
        <v>147.16981132075472</v>
      </c>
      <c r="L1142" s="52">
        <f>J1142*E1142</f>
        <v>147.16981132075472</v>
      </c>
      <c r="M1142" s="245" t="s">
        <v>17</v>
      </c>
    </row>
    <row r="1143" spans="1:13">
      <c r="A1143" s="218" t="s">
        <v>814</v>
      </c>
      <c r="B1143" s="95" t="s">
        <v>815</v>
      </c>
      <c r="C1143" s="26" t="s">
        <v>460</v>
      </c>
      <c r="D1143" s="25" t="s">
        <v>67</v>
      </c>
      <c r="E1143" s="49">
        <v>48</v>
      </c>
      <c r="F1143" s="48">
        <v>25000</v>
      </c>
      <c r="G1143" s="9">
        <f t="shared" si="180"/>
        <v>1200000</v>
      </c>
      <c r="H1143" s="51">
        <f t="shared" si="181"/>
        <v>3750</v>
      </c>
      <c r="I1143" s="51">
        <f>+F1143*0.2</f>
        <v>5000</v>
      </c>
      <c r="J1143" s="128">
        <f t="shared" si="182"/>
        <v>6.367924528301887</v>
      </c>
      <c r="K1143" s="53">
        <f t="shared" si="185"/>
        <v>305.66037735849056</v>
      </c>
      <c r="L1143" s="52">
        <f>J1143*E1143</f>
        <v>305.66037735849056</v>
      </c>
      <c r="M1143" s="245" t="s">
        <v>17</v>
      </c>
    </row>
    <row r="1144" spans="1:13">
      <c r="A1144" s="280">
        <v>1</v>
      </c>
      <c r="B1144" s="13" t="s">
        <v>816</v>
      </c>
      <c r="C1144" s="6" t="s">
        <v>817</v>
      </c>
      <c r="D1144" s="12"/>
      <c r="E1144" s="14"/>
      <c r="F1144" s="15"/>
      <c r="G1144" s="2"/>
      <c r="H1144" s="51"/>
      <c r="I1144" s="51"/>
      <c r="J1144" s="84"/>
      <c r="K1144" s="52" t="s">
        <v>28</v>
      </c>
      <c r="L1144" s="219"/>
      <c r="M1144" s="245" t="s">
        <v>23</v>
      </c>
    </row>
    <row r="1145" spans="1:13">
      <c r="A1145" s="1" t="s">
        <v>777</v>
      </c>
      <c r="B1145" s="12" t="s">
        <v>818</v>
      </c>
      <c r="C1145" s="26" t="s">
        <v>819</v>
      </c>
      <c r="D1145" s="26" t="s">
        <v>67</v>
      </c>
      <c r="E1145" s="228">
        <v>132</v>
      </c>
      <c r="F1145" s="223">
        <v>70000</v>
      </c>
      <c r="G1145" s="2">
        <f>F1145*E1145</f>
        <v>9240000</v>
      </c>
      <c r="H1145" s="51">
        <f>+F1145*0.15</f>
        <v>10500</v>
      </c>
      <c r="I1145" s="51">
        <f>+F1145*0.2</f>
        <v>14000</v>
      </c>
      <c r="J1145" s="52">
        <f>+(F1145+H1145+I1145)/5300</f>
        <v>17.830188679245282</v>
      </c>
      <c r="K1145" s="52">
        <f>+J1145*E1145</f>
        <v>2353.5849056603774</v>
      </c>
      <c r="L1145" s="219"/>
      <c r="M1145" s="245" t="s">
        <v>89</v>
      </c>
    </row>
    <row r="1146" spans="1:13">
      <c r="A1146" s="94" t="s">
        <v>777</v>
      </c>
      <c r="B1146" s="12" t="s">
        <v>818</v>
      </c>
      <c r="C1146" s="26" t="s">
        <v>819</v>
      </c>
      <c r="D1146" s="26" t="s">
        <v>67</v>
      </c>
      <c r="E1146" s="228">
        <v>355</v>
      </c>
      <c r="F1146" s="235">
        <v>7000</v>
      </c>
      <c r="G1146" s="2">
        <f>F1146*E1146</f>
        <v>2485000</v>
      </c>
      <c r="H1146" s="51">
        <f>+F1146*0.15</f>
        <v>1050</v>
      </c>
      <c r="I1146" s="51">
        <f>+F1146*0.2</f>
        <v>1400</v>
      </c>
      <c r="J1146" s="241">
        <f>+(F1146+H1146+I1146)/5300</f>
        <v>1.7830188679245282</v>
      </c>
      <c r="K1146" s="52">
        <f>+J1146*E1146</f>
        <v>632.97169811320748</v>
      </c>
      <c r="L1146" s="219"/>
      <c r="M1146" s="245" t="s">
        <v>23</v>
      </c>
    </row>
    <row r="1147" spans="1:13">
      <c r="A1147" s="218" t="s">
        <v>780</v>
      </c>
      <c r="B1147" s="12" t="s">
        <v>818</v>
      </c>
      <c r="C1147" s="26" t="s">
        <v>819</v>
      </c>
      <c r="D1147" s="25" t="s">
        <v>67</v>
      </c>
      <c r="E1147" s="64">
        <v>29</v>
      </c>
      <c r="F1147" s="75">
        <v>7000</v>
      </c>
      <c r="G1147" s="9">
        <f>F1147*E1147</f>
        <v>203000</v>
      </c>
      <c r="H1147" s="51">
        <f>+F1147*0.15</f>
        <v>1050</v>
      </c>
      <c r="I1147" s="293">
        <f>+F1147*0.15</f>
        <v>1050</v>
      </c>
      <c r="J1147" s="128">
        <f>+(F1147+H1147+I1147)/5300</f>
        <v>1.7169811320754718</v>
      </c>
      <c r="K1147" s="53"/>
      <c r="L1147" s="129">
        <f>J1147*E1147</f>
        <v>49.79245283018868</v>
      </c>
      <c r="M1147" s="245" t="s">
        <v>17</v>
      </c>
    </row>
    <row r="1148" spans="1:13">
      <c r="A1148" s="218" t="s">
        <v>777</v>
      </c>
      <c r="B1148" s="12" t="s">
        <v>820</v>
      </c>
      <c r="C1148" s="26" t="s">
        <v>821</v>
      </c>
      <c r="D1148" s="25" t="s">
        <v>67</v>
      </c>
      <c r="E1148" s="64">
        <v>42</v>
      </c>
      <c r="F1148" s="75">
        <v>7500</v>
      </c>
      <c r="G1148" s="9">
        <f>F1148*E1148</f>
        <v>315000</v>
      </c>
      <c r="H1148" s="51">
        <f>+F1148*0.15</f>
        <v>1125</v>
      </c>
      <c r="I1148" s="293">
        <f>+F1148*0.15</f>
        <v>1125</v>
      </c>
      <c r="J1148" s="128">
        <f>+(F1148+H1148+I1148)/5300</f>
        <v>1.8396226415094339</v>
      </c>
      <c r="K1148" s="53">
        <f>+J1148*E1148</f>
        <v>77.264150943396217</v>
      </c>
      <c r="L1148" s="129">
        <f>J1148*E1148</f>
        <v>77.264150943396217</v>
      </c>
      <c r="M1148" s="245" t="s">
        <v>17</v>
      </c>
    </row>
    <row r="1149" spans="1:13" s="246" customFormat="1">
      <c r="A1149" s="280">
        <v>1</v>
      </c>
      <c r="B1149" s="13" t="s">
        <v>822</v>
      </c>
      <c r="C1149" s="146" t="s">
        <v>823</v>
      </c>
      <c r="D1149" s="95"/>
      <c r="E1149" s="252"/>
      <c r="F1149" s="95"/>
      <c r="G1149" s="236"/>
      <c r="H1149" s="239"/>
      <c r="I1149" s="206"/>
      <c r="J1149" s="84"/>
      <c r="K1149" s="241"/>
      <c r="L1149" s="219"/>
      <c r="M1149" s="245" t="s">
        <v>20</v>
      </c>
    </row>
    <row r="1150" spans="1:13" s="220" customFormat="1">
      <c r="A1150" s="94">
        <v>1.2</v>
      </c>
      <c r="B1150" s="95" t="s">
        <v>824</v>
      </c>
      <c r="C1150" s="207" t="s">
        <v>465</v>
      </c>
      <c r="D1150" s="207" t="s">
        <v>67</v>
      </c>
      <c r="E1150" s="230">
        <v>55</v>
      </c>
      <c r="F1150" s="294">
        <v>5000</v>
      </c>
      <c r="G1150" s="236">
        <f t="shared" ref="G1150:G1156" si="186">F1150*E1150</f>
        <v>275000</v>
      </c>
      <c r="H1150" s="239">
        <f t="shared" ref="H1150:H1156" si="187">+F1150*0.15</f>
        <v>750</v>
      </c>
      <c r="I1150" s="206">
        <f t="shared" ref="I1150:I1156" si="188">+F1150*0.2</f>
        <v>1000</v>
      </c>
      <c r="J1150" s="84">
        <f t="shared" ref="J1150:J1156" si="189">+(F1150+H1150+I1150)/5300</f>
        <v>1.2735849056603774</v>
      </c>
      <c r="K1150" s="241">
        <f>J1150*E1150</f>
        <v>70.047169811320757</v>
      </c>
      <c r="L1150" s="219"/>
      <c r="M1150" s="245" t="s">
        <v>20</v>
      </c>
    </row>
    <row r="1151" spans="1:13" s="220" customFormat="1">
      <c r="A1151" s="94">
        <v>1.2</v>
      </c>
      <c r="B1151" s="95" t="s">
        <v>824</v>
      </c>
      <c r="C1151" s="207" t="s">
        <v>465</v>
      </c>
      <c r="D1151" s="26" t="s">
        <v>67</v>
      </c>
      <c r="E1151" s="228">
        <v>11</v>
      </c>
      <c r="F1151" s="267">
        <v>5000</v>
      </c>
      <c r="G1151" s="2">
        <f t="shared" si="186"/>
        <v>55000</v>
      </c>
      <c r="H1151" s="238">
        <f t="shared" si="187"/>
        <v>750</v>
      </c>
      <c r="I1151" s="51">
        <f t="shared" si="188"/>
        <v>1000</v>
      </c>
      <c r="J1151" s="52">
        <f t="shared" si="189"/>
        <v>1.2735849056603774</v>
      </c>
      <c r="K1151" s="52">
        <f>+J1151*E1151</f>
        <v>14.009433962264151</v>
      </c>
      <c r="L1151" s="219"/>
      <c r="M1151" s="245" t="s">
        <v>87</v>
      </c>
    </row>
    <row r="1152" spans="1:13" s="220" customFormat="1">
      <c r="A1152" s="94">
        <v>1.1000000000000001</v>
      </c>
      <c r="B1152" s="95" t="s">
        <v>825</v>
      </c>
      <c r="C1152" s="207" t="s">
        <v>467</v>
      </c>
      <c r="D1152" s="26" t="s">
        <v>67</v>
      </c>
      <c r="E1152" s="228">
        <v>162</v>
      </c>
      <c r="F1152" s="267">
        <v>7000</v>
      </c>
      <c r="G1152" s="2">
        <f t="shared" si="186"/>
        <v>1134000</v>
      </c>
      <c r="H1152" s="238">
        <f t="shared" si="187"/>
        <v>1050</v>
      </c>
      <c r="I1152" s="51">
        <f t="shared" si="188"/>
        <v>1400</v>
      </c>
      <c r="J1152" s="128">
        <f t="shared" si="189"/>
        <v>1.7830188679245282</v>
      </c>
      <c r="K1152" s="53">
        <f>+J1152*E1152</f>
        <v>288.84905660377359</v>
      </c>
      <c r="L1152" s="52">
        <f>E1152*J1152</f>
        <v>288.84905660377359</v>
      </c>
      <c r="M1152" s="245" t="s">
        <v>15</v>
      </c>
    </row>
    <row r="1153" spans="1:13" s="220" customFormat="1">
      <c r="A1153" s="94" t="s">
        <v>777</v>
      </c>
      <c r="B1153" s="95" t="s">
        <v>825</v>
      </c>
      <c r="C1153" s="207" t="s">
        <v>467</v>
      </c>
      <c r="D1153" s="207" t="s">
        <v>67</v>
      </c>
      <c r="E1153" s="230">
        <v>248</v>
      </c>
      <c r="F1153" s="294">
        <v>7000</v>
      </c>
      <c r="G1153" s="236">
        <f t="shared" si="186"/>
        <v>1736000</v>
      </c>
      <c r="H1153" s="239">
        <f t="shared" si="187"/>
        <v>1050</v>
      </c>
      <c r="I1153" s="206">
        <f t="shared" si="188"/>
        <v>1400</v>
      </c>
      <c r="J1153" s="84">
        <f t="shared" si="189"/>
        <v>1.7830188679245282</v>
      </c>
      <c r="K1153" s="241">
        <f>J1153*E1153</f>
        <v>442.18867924528303</v>
      </c>
      <c r="L1153" s="219"/>
      <c r="M1153" s="245" t="s">
        <v>20</v>
      </c>
    </row>
    <row r="1154" spans="1:13" s="220" customFormat="1">
      <c r="A1154" s="218" t="s">
        <v>777</v>
      </c>
      <c r="B1154" s="95" t="s">
        <v>825</v>
      </c>
      <c r="C1154" s="26" t="s">
        <v>468</v>
      </c>
      <c r="D1154" s="25" t="s">
        <v>67</v>
      </c>
      <c r="E1154" s="64">
        <v>82</v>
      </c>
      <c r="F1154" s="48">
        <v>7000</v>
      </c>
      <c r="G1154" s="9">
        <f t="shared" si="186"/>
        <v>574000</v>
      </c>
      <c r="H1154" s="69">
        <f t="shared" si="187"/>
        <v>1050</v>
      </c>
      <c r="I1154" s="69">
        <f t="shared" si="188"/>
        <v>1400</v>
      </c>
      <c r="J1154" s="77">
        <f t="shared" si="189"/>
        <v>1.7830188679245282</v>
      </c>
      <c r="K1154" s="73">
        <f>+J1154*E1154</f>
        <v>146.20754716981131</v>
      </c>
      <c r="L1154" s="54">
        <f>+J1154*E1154</f>
        <v>146.20754716981131</v>
      </c>
      <c r="M1154" s="245" t="s">
        <v>30</v>
      </c>
    </row>
    <row r="1155" spans="1:13" s="220" customFormat="1">
      <c r="A1155" s="94" t="s">
        <v>777</v>
      </c>
      <c r="B1155" s="95" t="s">
        <v>825</v>
      </c>
      <c r="C1155" s="207" t="s">
        <v>467</v>
      </c>
      <c r="D1155" s="26" t="s">
        <v>67</v>
      </c>
      <c r="E1155" s="228">
        <v>112</v>
      </c>
      <c r="F1155" s="267">
        <v>7000</v>
      </c>
      <c r="G1155" s="2">
        <f t="shared" si="186"/>
        <v>784000</v>
      </c>
      <c r="H1155" s="238">
        <f t="shared" si="187"/>
        <v>1050</v>
      </c>
      <c r="I1155" s="51">
        <f t="shared" si="188"/>
        <v>1400</v>
      </c>
      <c r="J1155" s="52">
        <f t="shared" si="189"/>
        <v>1.7830188679245282</v>
      </c>
      <c r="K1155" s="52">
        <f>+J1155*E1155</f>
        <v>199.69811320754715</v>
      </c>
      <c r="L1155" s="219"/>
      <c r="M1155" s="245" t="s">
        <v>87</v>
      </c>
    </row>
    <row r="1156" spans="1:13">
      <c r="A1156" s="94" t="s">
        <v>777</v>
      </c>
      <c r="B1156" s="95" t="s">
        <v>825</v>
      </c>
      <c r="C1156" s="26" t="s">
        <v>468</v>
      </c>
      <c r="D1156" s="104" t="s">
        <v>67</v>
      </c>
      <c r="E1156" s="228">
        <v>35</v>
      </c>
      <c r="F1156" s="267">
        <v>7000</v>
      </c>
      <c r="G1156" s="2">
        <f t="shared" si="186"/>
        <v>245000</v>
      </c>
      <c r="H1156" s="238">
        <f t="shared" si="187"/>
        <v>1050</v>
      </c>
      <c r="I1156" s="51">
        <f t="shared" si="188"/>
        <v>1400</v>
      </c>
      <c r="J1156" s="52">
        <f t="shared" si="189"/>
        <v>1.7830188679245282</v>
      </c>
      <c r="K1156" s="53">
        <f>+J1156*E1156</f>
        <v>62.405660377358487</v>
      </c>
      <c r="L1156" s="52">
        <f>J1156*E1156</f>
        <v>62.405660377358487</v>
      </c>
      <c r="M1156" s="245" t="s">
        <v>93</v>
      </c>
    </row>
    <row r="1157" spans="1:13" s="220" customFormat="1">
      <c r="A1157" s="280">
        <v>1</v>
      </c>
      <c r="B1157" s="154" t="s">
        <v>826</v>
      </c>
      <c r="C1157" s="6" t="s">
        <v>827</v>
      </c>
      <c r="D1157" s="95"/>
      <c r="E1157" s="252"/>
      <c r="F1157" s="95"/>
      <c r="G1157" s="236"/>
      <c r="H1157" s="239"/>
      <c r="I1157" s="206"/>
      <c r="J1157" s="84"/>
      <c r="K1157" s="241"/>
      <c r="L1157" s="219"/>
      <c r="M1157" s="245" t="s">
        <v>20</v>
      </c>
    </row>
    <row r="1158" spans="1:13" s="220" customFormat="1">
      <c r="A1158" s="281">
        <v>1</v>
      </c>
      <c r="B1158" s="154" t="s">
        <v>826</v>
      </c>
      <c r="C1158" s="6" t="s">
        <v>827</v>
      </c>
      <c r="D1158" s="12"/>
      <c r="E1158" s="14"/>
      <c r="F1158" s="12"/>
      <c r="G1158" s="2"/>
      <c r="H1158" s="51"/>
      <c r="I1158" s="51"/>
      <c r="J1158" s="52"/>
      <c r="K1158" s="52"/>
      <c r="L1158" s="219"/>
      <c r="M1158" s="245" t="s">
        <v>89</v>
      </c>
    </row>
    <row r="1159" spans="1:13" ht="27.6">
      <c r="A1159" s="281">
        <v>1</v>
      </c>
      <c r="B1159" s="154" t="s">
        <v>826</v>
      </c>
      <c r="C1159" s="6" t="s">
        <v>827</v>
      </c>
      <c r="D1159" s="12"/>
      <c r="E1159" s="14"/>
      <c r="F1159" s="12"/>
      <c r="G1159" s="2"/>
      <c r="H1159" s="295" t="s">
        <v>828</v>
      </c>
      <c r="I1159" s="154" t="s">
        <v>829</v>
      </c>
      <c r="J1159" s="52"/>
      <c r="K1159" s="296" t="s">
        <v>6</v>
      </c>
      <c r="L1159" s="219"/>
      <c r="M1159" s="245" t="s">
        <v>89</v>
      </c>
    </row>
    <row r="1160" spans="1:13" s="220" customFormat="1">
      <c r="A1160" s="280">
        <v>1</v>
      </c>
      <c r="B1160" s="154" t="s">
        <v>826</v>
      </c>
      <c r="C1160" s="6" t="s">
        <v>827</v>
      </c>
      <c r="D1160" s="12"/>
      <c r="E1160" s="14"/>
      <c r="F1160" s="12"/>
      <c r="G1160" s="2"/>
      <c r="H1160" s="238"/>
      <c r="I1160" s="51"/>
      <c r="J1160" s="240"/>
      <c r="K1160" s="51"/>
      <c r="L1160" s="240"/>
      <c r="M1160" s="245" t="s">
        <v>117</v>
      </c>
    </row>
    <row r="1161" spans="1:13" s="220" customFormat="1">
      <c r="A1161" s="281">
        <v>1</v>
      </c>
      <c r="B1161" s="154" t="s">
        <v>826</v>
      </c>
      <c r="C1161" s="6" t="s">
        <v>827</v>
      </c>
      <c r="D1161" s="12"/>
      <c r="E1161" s="12"/>
      <c r="F1161" s="12"/>
      <c r="G1161" s="2"/>
      <c r="H1161" s="238"/>
      <c r="I1161" s="51"/>
      <c r="J1161" s="52"/>
      <c r="K1161" s="53"/>
      <c r="L1161" s="52"/>
      <c r="M1161" s="245" t="s">
        <v>118</v>
      </c>
    </row>
    <row r="1162" spans="1:13" s="220" customFormat="1">
      <c r="A1162" s="280">
        <v>1</v>
      </c>
      <c r="B1162" s="154" t="s">
        <v>826</v>
      </c>
      <c r="C1162" s="6" t="s">
        <v>827</v>
      </c>
      <c r="D1162" s="12"/>
      <c r="E1162" s="14"/>
      <c r="F1162" s="15"/>
      <c r="G1162" s="2"/>
      <c r="H1162" s="51"/>
      <c r="I1162" s="51"/>
      <c r="J1162" s="84"/>
      <c r="K1162" s="52"/>
      <c r="L1162" s="219"/>
      <c r="M1162" s="245" t="s">
        <v>23</v>
      </c>
    </row>
    <row r="1163" spans="1:13">
      <c r="A1163" s="151">
        <v>1</v>
      </c>
      <c r="B1163" s="154" t="s">
        <v>826</v>
      </c>
      <c r="C1163" s="6" t="s">
        <v>827</v>
      </c>
      <c r="D1163" s="7"/>
      <c r="E1163" s="8"/>
      <c r="F1163" s="7"/>
      <c r="G1163" s="9"/>
      <c r="H1163" s="69"/>
      <c r="I1163" s="69"/>
      <c r="J1163" s="54"/>
      <c r="K1163" s="73"/>
      <c r="L1163" s="54" t="s">
        <v>28</v>
      </c>
      <c r="M1163" s="245" t="s">
        <v>30</v>
      </c>
    </row>
    <row r="1164" spans="1:13">
      <c r="A1164" s="151">
        <v>1</v>
      </c>
      <c r="B1164" s="154" t="s">
        <v>826</v>
      </c>
      <c r="C1164" s="6" t="s">
        <v>827</v>
      </c>
      <c r="D1164" s="7"/>
      <c r="E1164" s="8"/>
      <c r="F1164" s="7"/>
      <c r="G1164" s="9"/>
      <c r="H1164" s="51"/>
      <c r="I1164" s="51"/>
      <c r="J1164" s="52"/>
      <c r="K1164" s="53"/>
      <c r="L1164" s="54"/>
      <c r="M1164" s="245" t="s">
        <v>30</v>
      </c>
    </row>
    <row r="1165" spans="1:13">
      <c r="A1165" s="280">
        <v>1</v>
      </c>
      <c r="B1165" s="154" t="s">
        <v>826</v>
      </c>
      <c r="C1165" s="6" t="s">
        <v>827</v>
      </c>
      <c r="D1165" s="104"/>
      <c r="E1165" s="14"/>
      <c r="F1165" s="12"/>
      <c r="G1165" s="2"/>
      <c r="H1165" s="238">
        <f>+F1165*0.15</f>
        <v>0</v>
      </c>
      <c r="I1165" s="51">
        <f>+F1165*0.2</f>
        <v>0</v>
      </c>
      <c r="J1165" s="52"/>
      <c r="K1165" s="53">
        <f>+J1165*E1165</f>
        <v>0</v>
      </c>
      <c r="L1165" s="52"/>
      <c r="M1165" s="245" t="s">
        <v>93</v>
      </c>
    </row>
    <row r="1166" spans="1:13">
      <c r="A1166" s="280">
        <v>1</v>
      </c>
      <c r="B1166" s="154" t="s">
        <v>826</v>
      </c>
      <c r="C1166" s="6" t="s">
        <v>827</v>
      </c>
      <c r="D1166" s="104"/>
      <c r="E1166" s="14"/>
      <c r="F1166" s="12"/>
      <c r="G1166" s="2"/>
      <c r="H1166" s="238"/>
      <c r="I1166" s="51"/>
      <c r="J1166" s="52"/>
      <c r="K1166" s="53"/>
      <c r="L1166" s="52"/>
      <c r="M1166" s="245" t="s">
        <v>93</v>
      </c>
    </row>
    <row r="1167" spans="1:13">
      <c r="A1167" s="280">
        <v>1</v>
      </c>
      <c r="B1167" s="154" t="s">
        <v>826</v>
      </c>
      <c r="C1167" s="6" t="s">
        <v>827</v>
      </c>
      <c r="D1167" s="12"/>
      <c r="E1167" s="14"/>
      <c r="F1167" s="12"/>
      <c r="G1167" s="2"/>
      <c r="H1167" s="238"/>
      <c r="I1167" s="51"/>
      <c r="J1167" s="52"/>
      <c r="K1167" s="52"/>
      <c r="L1167" s="219"/>
      <c r="M1167" s="245" t="s">
        <v>87</v>
      </c>
    </row>
    <row r="1168" spans="1:13">
      <c r="A1168" s="280">
        <v>1</v>
      </c>
      <c r="B1168" s="154" t="s">
        <v>826</v>
      </c>
      <c r="C1168" s="6" t="s">
        <v>827</v>
      </c>
      <c r="D1168" s="12"/>
      <c r="E1168" s="14"/>
      <c r="F1168" s="12"/>
      <c r="G1168" s="2"/>
      <c r="H1168" s="297" t="s">
        <v>828</v>
      </c>
      <c r="I1168" s="298" t="s">
        <v>829</v>
      </c>
      <c r="J1168" s="52"/>
      <c r="K1168" s="52"/>
      <c r="L1168" s="219"/>
      <c r="M1168" s="245" t="s">
        <v>87</v>
      </c>
    </row>
    <row r="1169" spans="1:13">
      <c r="A1169" s="280">
        <v>1</v>
      </c>
      <c r="B1169" s="154" t="s">
        <v>826</v>
      </c>
      <c r="C1169" s="6" t="s">
        <v>827</v>
      </c>
      <c r="D1169" s="12"/>
      <c r="E1169" s="14"/>
      <c r="F1169" s="12"/>
      <c r="G1169" s="2"/>
      <c r="H1169" s="238"/>
      <c r="I1169" s="51"/>
      <c r="J1169" s="128"/>
      <c r="K1169" s="53"/>
      <c r="L1169" s="52"/>
      <c r="M1169" s="245" t="s">
        <v>15</v>
      </c>
    </row>
    <row r="1170" spans="1:13">
      <c r="A1170" s="280">
        <v>1</v>
      </c>
      <c r="B1170" s="154" t="s">
        <v>826</v>
      </c>
      <c r="C1170" s="6" t="s">
        <v>827</v>
      </c>
      <c r="D1170" s="12"/>
      <c r="E1170" s="14"/>
      <c r="F1170" s="12"/>
      <c r="G1170" s="2"/>
      <c r="H1170" s="238"/>
      <c r="I1170" s="51"/>
      <c r="J1170" s="128"/>
      <c r="K1170" s="53"/>
      <c r="L1170" s="52"/>
      <c r="M1170" s="245" t="s">
        <v>15</v>
      </c>
    </row>
    <row r="1171" spans="1:13">
      <c r="A1171" s="151">
        <v>1</v>
      </c>
      <c r="B1171" s="154" t="s">
        <v>826</v>
      </c>
      <c r="C1171" s="6" t="s">
        <v>827</v>
      </c>
      <c r="D1171" s="7"/>
      <c r="E1171" s="8"/>
      <c r="F1171" s="7"/>
      <c r="G1171" s="9"/>
      <c r="H1171" s="51"/>
      <c r="I1171" s="51"/>
      <c r="J1171" s="128"/>
      <c r="K1171" s="53"/>
      <c r="L1171" s="52" t="s">
        <v>28</v>
      </c>
      <c r="M1171" s="245" t="s">
        <v>17</v>
      </c>
    </row>
    <row r="1172" spans="1:13">
      <c r="A1172" s="151">
        <v>1</v>
      </c>
      <c r="B1172" s="154" t="s">
        <v>826</v>
      </c>
      <c r="C1172" s="6" t="s">
        <v>827</v>
      </c>
      <c r="D1172" s="7"/>
      <c r="E1172" s="8"/>
      <c r="F1172" s="7"/>
      <c r="G1172" s="9"/>
      <c r="H1172" s="51"/>
      <c r="I1172" s="51"/>
      <c r="J1172" s="128"/>
      <c r="K1172" s="53"/>
      <c r="L1172" s="52"/>
      <c r="M1172" s="245" t="s">
        <v>17</v>
      </c>
    </row>
    <row r="1173" spans="1:13">
      <c r="A1173" s="151">
        <v>1</v>
      </c>
      <c r="B1173" s="154" t="s">
        <v>826</v>
      </c>
      <c r="C1173" s="6" t="s">
        <v>827</v>
      </c>
      <c r="D1173" s="7"/>
      <c r="E1173" s="8"/>
      <c r="F1173" s="7"/>
      <c r="G1173" s="9"/>
      <c r="H1173" s="25"/>
      <c r="I1173" s="25"/>
      <c r="J1173" s="128"/>
      <c r="K1173" s="53"/>
      <c r="L1173" s="52"/>
      <c r="M1173" s="245" t="s">
        <v>17</v>
      </c>
    </row>
    <row r="1174" spans="1:13">
      <c r="A1174" s="251" t="s">
        <v>777</v>
      </c>
      <c r="B1174" s="76" t="s">
        <v>830</v>
      </c>
      <c r="C1174" s="26" t="s">
        <v>831</v>
      </c>
      <c r="D1174" s="207" t="s">
        <v>67</v>
      </c>
      <c r="E1174" s="230">
        <v>12</v>
      </c>
      <c r="F1174" s="236">
        <v>17000</v>
      </c>
      <c r="G1174" s="236">
        <f t="shared" ref="G1174:G1202" si="190">F1174*E1174</f>
        <v>204000</v>
      </c>
      <c r="H1174" s="239">
        <f t="shared" ref="H1174:H1202" si="191">+F1174*0.15</f>
        <v>2550</v>
      </c>
      <c r="I1174" s="206">
        <f>+F1174*0.2</f>
        <v>3400</v>
      </c>
      <c r="J1174" s="84">
        <f t="shared" ref="J1174:J1179" si="192">+(F1174+H1174+I1174)/5300</f>
        <v>4.3301886792452828</v>
      </c>
      <c r="K1174" s="241">
        <f>+J1174*E1174</f>
        <v>51.962264150943398</v>
      </c>
      <c r="L1174" s="219"/>
      <c r="M1174" s="245" t="s">
        <v>20</v>
      </c>
    </row>
    <row r="1175" spans="1:13">
      <c r="A1175" s="1" t="s">
        <v>777</v>
      </c>
      <c r="B1175" s="76" t="s">
        <v>830</v>
      </c>
      <c r="C1175" s="26" t="s">
        <v>831</v>
      </c>
      <c r="D1175" s="26" t="s">
        <v>67</v>
      </c>
      <c r="E1175" s="228">
        <v>12</v>
      </c>
      <c r="F1175" s="223">
        <v>17000</v>
      </c>
      <c r="G1175" s="2">
        <f t="shared" si="190"/>
        <v>204000</v>
      </c>
      <c r="H1175" s="51">
        <f t="shared" si="191"/>
        <v>2550</v>
      </c>
      <c r="I1175" s="51">
        <f>+F1175*0.2</f>
        <v>3400</v>
      </c>
      <c r="J1175" s="52">
        <f t="shared" si="192"/>
        <v>4.3301886792452828</v>
      </c>
      <c r="K1175" s="52">
        <f>+J1175*E1175</f>
        <v>51.962264150943398</v>
      </c>
      <c r="L1175" s="219"/>
      <c r="M1175" s="245" t="s">
        <v>89</v>
      </c>
    </row>
    <row r="1176" spans="1:13">
      <c r="A1176" s="94" t="s">
        <v>777</v>
      </c>
      <c r="B1176" s="76" t="s">
        <v>830</v>
      </c>
      <c r="C1176" s="26" t="s">
        <v>831</v>
      </c>
      <c r="D1176" s="26" t="s">
        <v>67</v>
      </c>
      <c r="E1176" s="228">
        <v>12</v>
      </c>
      <c r="F1176" s="223">
        <v>17000</v>
      </c>
      <c r="G1176" s="2">
        <f t="shared" si="190"/>
        <v>204000</v>
      </c>
      <c r="H1176" s="238">
        <f t="shared" si="191"/>
        <v>2550</v>
      </c>
      <c r="I1176" s="51">
        <f>+F1176*0.15</f>
        <v>2550</v>
      </c>
      <c r="J1176" s="240">
        <f t="shared" si="192"/>
        <v>4.1698113207547172</v>
      </c>
      <c r="K1176" s="51">
        <f>+J1176*E1176</f>
        <v>50.037735849056602</v>
      </c>
      <c r="L1176" s="240">
        <f>+E1176*J1176</f>
        <v>50.037735849056602</v>
      </c>
      <c r="M1176" s="245" t="s">
        <v>117</v>
      </c>
    </row>
    <row r="1177" spans="1:13">
      <c r="A1177" s="1" t="s">
        <v>777</v>
      </c>
      <c r="B1177" s="76" t="s">
        <v>830</v>
      </c>
      <c r="C1177" s="26" t="s">
        <v>831</v>
      </c>
      <c r="D1177" s="26" t="s">
        <v>67</v>
      </c>
      <c r="E1177" s="225">
        <v>12</v>
      </c>
      <c r="F1177" s="223">
        <v>17000</v>
      </c>
      <c r="G1177" s="2">
        <f t="shared" si="190"/>
        <v>204000</v>
      </c>
      <c r="H1177" s="238">
        <f t="shared" si="191"/>
        <v>2550</v>
      </c>
      <c r="I1177" s="51">
        <f t="shared" ref="I1177:I1186" si="193">+F1177*0.2</f>
        <v>3400</v>
      </c>
      <c r="J1177" s="52">
        <f t="shared" si="192"/>
        <v>4.3301886792452828</v>
      </c>
      <c r="K1177" s="53">
        <f>+J1177*E1177</f>
        <v>51.962264150943398</v>
      </c>
      <c r="L1177" s="52">
        <f>J1177*E1177</f>
        <v>51.962264150943398</v>
      </c>
      <c r="M1177" s="245" t="s">
        <v>118</v>
      </c>
    </row>
    <row r="1178" spans="1:13">
      <c r="A1178" s="94" t="s">
        <v>777</v>
      </c>
      <c r="B1178" s="76" t="s">
        <v>830</v>
      </c>
      <c r="C1178" s="26" t="s">
        <v>831</v>
      </c>
      <c r="D1178" s="26" t="s">
        <v>67</v>
      </c>
      <c r="E1178" s="228">
        <v>12</v>
      </c>
      <c r="F1178" s="235">
        <v>17000</v>
      </c>
      <c r="G1178" s="2">
        <f t="shared" si="190"/>
        <v>204000</v>
      </c>
      <c r="H1178" s="51">
        <f t="shared" si="191"/>
        <v>2550</v>
      </c>
      <c r="I1178" s="51">
        <f t="shared" si="193"/>
        <v>3400</v>
      </c>
      <c r="J1178" s="84">
        <f t="shared" si="192"/>
        <v>4.3301886792452828</v>
      </c>
      <c r="K1178" s="52">
        <f>J1178*E1178</f>
        <v>51.962264150943398</v>
      </c>
      <c r="L1178" s="219"/>
      <c r="M1178" s="245" t="s">
        <v>23</v>
      </c>
    </row>
    <row r="1179" spans="1:13">
      <c r="A1179" s="218" t="s">
        <v>777</v>
      </c>
      <c r="B1179" s="76" t="s">
        <v>830</v>
      </c>
      <c r="C1179" s="26" t="s">
        <v>831</v>
      </c>
      <c r="D1179" s="25" t="s">
        <v>67</v>
      </c>
      <c r="E1179" s="64">
        <v>12</v>
      </c>
      <c r="F1179" s="48">
        <v>17000</v>
      </c>
      <c r="G1179" s="9">
        <f t="shared" si="190"/>
        <v>204000</v>
      </c>
      <c r="H1179" s="51">
        <f t="shared" si="191"/>
        <v>2550</v>
      </c>
      <c r="I1179" s="51">
        <f t="shared" si="193"/>
        <v>3400</v>
      </c>
      <c r="J1179" s="52">
        <f t="shared" si="192"/>
        <v>4.3301886792452828</v>
      </c>
      <c r="K1179" s="53">
        <f t="shared" ref="K1179:K1190" si="194">+J1179*E1179</f>
        <v>51.962264150943398</v>
      </c>
      <c r="L1179" s="54">
        <f>+J1179*E1179</f>
        <v>51.962264150943398</v>
      </c>
      <c r="M1179" s="245" t="s">
        <v>30</v>
      </c>
    </row>
    <row r="1180" spans="1:13">
      <c r="A1180" s="94" t="s">
        <v>777</v>
      </c>
      <c r="B1180" s="76" t="s">
        <v>830</v>
      </c>
      <c r="C1180" s="26" t="s">
        <v>831</v>
      </c>
      <c r="D1180" s="104" t="s">
        <v>67</v>
      </c>
      <c r="E1180" s="228">
        <v>12</v>
      </c>
      <c r="F1180" s="223">
        <v>17000</v>
      </c>
      <c r="G1180" s="2">
        <f t="shared" si="190"/>
        <v>204000</v>
      </c>
      <c r="H1180" s="238">
        <f t="shared" si="191"/>
        <v>2550</v>
      </c>
      <c r="I1180" s="51">
        <f t="shared" si="193"/>
        <v>3400</v>
      </c>
      <c r="J1180" s="52">
        <f>+(H1180+I1180+F1180)/5300</f>
        <v>4.3301886792452828</v>
      </c>
      <c r="K1180" s="53">
        <f t="shared" si="194"/>
        <v>51.962264150943398</v>
      </c>
      <c r="L1180" s="52">
        <f>E1180*J1180</f>
        <v>51.962264150943398</v>
      </c>
      <c r="M1180" s="245" t="s">
        <v>93</v>
      </c>
    </row>
    <row r="1181" spans="1:13">
      <c r="A1181" s="94" t="s">
        <v>777</v>
      </c>
      <c r="B1181" s="76" t="s">
        <v>830</v>
      </c>
      <c r="C1181" s="26" t="s">
        <v>831</v>
      </c>
      <c r="D1181" s="26" t="s">
        <v>67</v>
      </c>
      <c r="E1181" s="228">
        <v>12</v>
      </c>
      <c r="F1181" s="223">
        <v>17000</v>
      </c>
      <c r="G1181" s="2">
        <f t="shared" si="190"/>
        <v>204000</v>
      </c>
      <c r="H1181" s="238">
        <f t="shared" si="191"/>
        <v>2550</v>
      </c>
      <c r="I1181" s="51">
        <f t="shared" si="193"/>
        <v>3400</v>
      </c>
      <c r="J1181" s="52">
        <f>+(F1181+H1181+I1181)/5300</f>
        <v>4.3301886792452828</v>
      </c>
      <c r="K1181" s="52">
        <f t="shared" si="194"/>
        <v>51.962264150943398</v>
      </c>
      <c r="L1181" s="219"/>
      <c r="M1181" s="245" t="s">
        <v>87</v>
      </c>
    </row>
    <row r="1182" spans="1:13">
      <c r="A1182" s="94" t="s">
        <v>777</v>
      </c>
      <c r="B1182" s="76" t="s">
        <v>830</v>
      </c>
      <c r="C1182" s="26" t="s">
        <v>831</v>
      </c>
      <c r="D1182" s="26" t="s">
        <v>67</v>
      </c>
      <c r="E1182" s="228">
        <v>12</v>
      </c>
      <c r="F1182" s="223">
        <v>17000</v>
      </c>
      <c r="G1182" s="2">
        <f t="shared" si="190"/>
        <v>204000</v>
      </c>
      <c r="H1182" s="238">
        <f t="shared" si="191"/>
        <v>2550</v>
      </c>
      <c r="I1182" s="51">
        <f t="shared" si="193"/>
        <v>3400</v>
      </c>
      <c r="J1182" s="128">
        <f>+(F1182+H1182+I1182)/5300</f>
        <v>4.3301886792452828</v>
      </c>
      <c r="K1182" s="53">
        <f t="shared" si="194"/>
        <v>51.962264150943398</v>
      </c>
      <c r="L1182" s="52">
        <f>E1182*J1182</f>
        <v>51.962264150943398</v>
      </c>
      <c r="M1182" s="245" t="s">
        <v>15</v>
      </c>
    </row>
    <row r="1183" spans="1:13">
      <c r="A1183" s="218" t="s">
        <v>777</v>
      </c>
      <c r="B1183" s="76" t="s">
        <v>830</v>
      </c>
      <c r="C1183" s="26" t="s">
        <v>831</v>
      </c>
      <c r="D1183" s="25" t="s">
        <v>67</v>
      </c>
      <c r="E1183" s="64">
        <v>30</v>
      </c>
      <c r="F1183" s="48">
        <v>17000</v>
      </c>
      <c r="G1183" s="9">
        <f t="shared" si="190"/>
        <v>510000</v>
      </c>
      <c r="H1183" s="51">
        <f t="shared" si="191"/>
        <v>2550</v>
      </c>
      <c r="I1183" s="51">
        <f t="shared" si="193"/>
        <v>3400</v>
      </c>
      <c r="J1183" s="128">
        <f>+(I1183+H1183+F1183)/5300</f>
        <v>4.3301886792452828</v>
      </c>
      <c r="K1183" s="53">
        <f t="shared" si="194"/>
        <v>129.90566037735849</v>
      </c>
      <c r="L1183" s="52">
        <f>J1183*E1183</f>
        <v>129.90566037735849</v>
      </c>
      <c r="M1183" s="245" t="s">
        <v>17</v>
      </c>
    </row>
    <row r="1184" spans="1:13">
      <c r="A1184" s="218" t="s">
        <v>777</v>
      </c>
      <c r="B1184" s="27" t="s">
        <v>832</v>
      </c>
      <c r="C1184" s="26" t="s">
        <v>480</v>
      </c>
      <c r="D1184" s="25" t="s">
        <v>67</v>
      </c>
      <c r="E1184" s="64">
        <v>48</v>
      </c>
      <c r="F1184" s="48">
        <v>15000</v>
      </c>
      <c r="G1184" s="9">
        <f t="shared" si="190"/>
        <v>720000</v>
      </c>
      <c r="H1184" s="51">
        <f t="shared" si="191"/>
        <v>2250</v>
      </c>
      <c r="I1184" s="51">
        <f t="shared" si="193"/>
        <v>3000</v>
      </c>
      <c r="J1184" s="128">
        <f t="shared" ref="J1184:J1189" si="195">+(F1184+H1184+I1184)/5300</f>
        <v>3.8207547169811322</v>
      </c>
      <c r="K1184" s="53">
        <f t="shared" si="194"/>
        <v>183.39622641509436</v>
      </c>
      <c r="L1184" s="52">
        <f>J1184*E1184</f>
        <v>183.39622641509436</v>
      </c>
      <c r="M1184" s="245" t="s">
        <v>17</v>
      </c>
    </row>
    <row r="1185" spans="1:13">
      <c r="A1185" s="251" t="s">
        <v>780</v>
      </c>
      <c r="B1185" s="76" t="s">
        <v>833</v>
      </c>
      <c r="C1185" s="204" t="s">
        <v>834</v>
      </c>
      <c r="D1185" s="207" t="s">
        <v>67</v>
      </c>
      <c r="E1185" s="230">
        <v>3</v>
      </c>
      <c r="F1185" s="236">
        <v>7000</v>
      </c>
      <c r="G1185" s="236">
        <f t="shared" si="190"/>
        <v>21000</v>
      </c>
      <c r="H1185" s="239">
        <f t="shared" si="191"/>
        <v>1050</v>
      </c>
      <c r="I1185" s="206">
        <f t="shared" si="193"/>
        <v>1400</v>
      </c>
      <c r="J1185" s="84">
        <f t="shared" si="195"/>
        <v>1.7830188679245282</v>
      </c>
      <c r="K1185" s="241">
        <f t="shared" si="194"/>
        <v>5.3490566037735849</v>
      </c>
      <c r="L1185" s="219"/>
      <c r="M1185" s="245" t="s">
        <v>20</v>
      </c>
    </row>
    <row r="1186" spans="1:13">
      <c r="A1186" s="1" t="s">
        <v>780</v>
      </c>
      <c r="B1186" s="76" t="s">
        <v>833</v>
      </c>
      <c r="C1186" s="26" t="s">
        <v>834</v>
      </c>
      <c r="D1186" s="26" t="s">
        <v>67</v>
      </c>
      <c r="E1186" s="228">
        <v>3</v>
      </c>
      <c r="F1186" s="223">
        <v>7000</v>
      </c>
      <c r="G1186" s="2">
        <f t="shared" si="190"/>
        <v>21000</v>
      </c>
      <c r="H1186" s="51">
        <f t="shared" si="191"/>
        <v>1050</v>
      </c>
      <c r="I1186" s="51">
        <f t="shared" si="193"/>
        <v>1400</v>
      </c>
      <c r="J1186" s="52">
        <f t="shared" si="195"/>
        <v>1.7830188679245282</v>
      </c>
      <c r="K1186" s="52">
        <f t="shared" si="194"/>
        <v>5.3490566037735849</v>
      </c>
      <c r="L1186" s="219"/>
      <c r="M1186" s="245" t="s">
        <v>89</v>
      </c>
    </row>
    <row r="1187" spans="1:13">
      <c r="A1187" s="94" t="s">
        <v>780</v>
      </c>
      <c r="B1187" s="76" t="s">
        <v>833</v>
      </c>
      <c r="C1187" s="26" t="s">
        <v>834</v>
      </c>
      <c r="D1187" s="26" t="s">
        <v>67</v>
      </c>
      <c r="E1187" s="228">
        <v>3</v>
      </c>
      <c r="F1187" s="223">
        <v>7000</v>
      </c>
      <c r="G1187" s="2">
        <f t="shared" si="190"/>
        <v>21000</v>
      </c>
      <c r="H1187" s="238">
        <f t="shared" si="191"/>
        <v>1050</v>
      </c>
      <c r="I1187" s="51">
        <f>+F1187*0.15</f>
        <v>1050</v>
      </c>
      <c r="J1187" s="240">
        <f t="shared" si="195"/>
        <v>1.7169811320754718</v>
      </c>
      <c r="K1187" s="51">
        <f t="shared" si="194"/>
        <v>5.1509433962264151</v>
      </c>
      <c r="L1187" s="240">
        <f>+E1187*J1187</f>
        <v>5.1509433962264151</v>
      </c>
      <c r="M1187" s="245" t="s">
        <v>117</v>
      </c>
    </row>
    <row r="1188" spans="1:13">
      <c r="A1188" s="1" t="s">
        <v>780</v>
      </c>
      <c r="B1188" s="76" t="s">
        <v>833</v>
      </c>
      <c r="C1188" s="26" t="s">
        <v>834</v>
      </c>
      <c r="D1188" s="26" t="s">
        <v>67</v>
      </c>
      <c r="E1188" s="225">
        <v>3</v>
      </c>
      <c r="F1188" s="223">
        <v>7000</v>
      </c>
      <c r="G1188" s="2">
        <f t="shared" si="190"/>
        <v>21000</v>
      </c>
      <c r="H1188" s="238">
        <f t="shared" si="191"/>
        <v>1050</v>
      </c>
      <c r="I1188" s="51">
        <f t="shared" ref="I1188:I1194" si="196">+F1188*0.2</f>
        <v>1400</v>
      </c>
      <c r="J1188" s="52">
        <f t="shared" si="195"/>
        <v>1.7830188679245282</v>
      </c>
      <c r="K1188" s="53">
        <f t="shared" si="194"/>
        <v>5.3490566037735849</v>
      </c>
      <c r="L1188" s="52">
        <f>J1188*E1188</f>
        <v>5.3490566037735849</v>
      </c>
      <c r="M1188" s="245" t="s">
        <v>118</v>
      </c>
    </row>
    <row r="1189" spans="1:13">
      <c r="A1189" s="218" t="s">
        <v>780</v>
      </c>
      <c r="B1189" s="76" t="s">
        <v>833</v>
      </c>
      <c r="C1189" s="26" t="s">
        <v>834</v>
      </c>
      <c r="D1189" s="25" t="s">
        <v>67</v>
      </c>
      <c r="E1189" s="64">
        <v>3</v>
      </c>
      <c r="F1189" s="48">
        <v>7000</v>
      </c>
      <c r="G1189" s="9">
        <f t="shared" si="190"/>
        <v>21000</v>
      </c>
      <c r="H1189" s="51">
        <f t="shared" si="191"/>
        <v>1050</v>
      </c>
      <c r="I1189" s="51">
        <f t="shared" si="196"/>
        <v>1400</v>
      </c>
      <c r="J1189" s="52">
        <f t="shared" si="195"/>
        <v>1.7830188679245282</v>
      </c>
      <c r="K1189" s="53">
        <f t="shared" si="194"/>
        <v>5.3490566037735849</v>
      </c>
      <c r="L1189" s="54">
        <f>+J1189*E1189</f>
        <v>5.3490566037735849</v>
      </c>
      <c r="M1189" s="245" t="s">
        <v>30</v>
      </c>
    </row>
    <row r="1190" spans="1:13">
      <c r="A1190" s="94" t="s">
        <v>780</v>
      </c>
      <c r="B1190" s="76" t="s">
        <v>833</v>
      </c>
      <c r="C1190" s="26" t="s">
        <v>834</v>
      </c>
      <c r="D1190" s="104" t="s">
        <v>67</v>
      </c>
      <c r="E1190" s="228">
        <v>3</v>
      </c>
      <c r="F1190" s="223">
        <v>7000</v>
      </c>
      <c r="G1190" s="2">
        <f t="shared" si="190"/>
        <v>21000</v>
      </c>
      <c r="H1190" s="238">
        <f t="shared" si="191"/>
        <v>1050</v>
      </c>
      <c r="I1190" s="51">
        <f t="shared" si="196"/>
        <v>1400</v>
      </c>
      <c r="J1190" s="52">
        <f>+(H1190+I1190+F1190)/5300</f>
        <v>1.7830188679245282</v>
      </c>
      <c r="K1190" s="53">
        <f t="shared" si="194"/>
        <v>5.3490566037735849</v>
      </c>
      <c r="L1190" s="52">
        <f>E1190*J1190</f>
        <v>5.3490566037735849</v>
      </c>
      <c r="M1190" s="245" t="s">
        <v>93</v>
      </c>
    </row>
    <row r="1191" spans="1:13">
      <c r="A1191" s="94"/>
      <c r="B1191" s="76" t="s">
        <v>833</v>
      </c>
      <c r="C1191" s="26" t="s">
        <v>834</v>
      </c>
      <c r="D1191" s="26" t="s">
        <v>67</v>
      </c>
      <c r="E1191" s="228">
        <v>3</v>
      </c>
      <c r="F1191" s="235">
        <v>7000</v>
      </c>
      <c r="G1191" s="2">
        <f t="shared" si="190"/>
        <v>21000</v>
      </c>
      <c r="H1191" s="51">
        <f t="shared" si="191"/>
        <v>1050</v>
      </c>
      <c r="I1191" s="51">
        <f t="shared" si="196"/>
        <v>1400</v>
      </c>
      <c r="J1191" s="84">
        <f t="shared" ref="J1191:J1197" si="197">+(F1191+H1191+I1191)/5300</f>
        <v>1.7830188679245282</v>
      </c>
      <c r="K1191" s="52">
        <f>J1191*E1191</f>
        <v>5.3490566037735849</v>
      </c>
      <c r="L1191" s="219"/>
      <c r="M1191" s="245" t="s">
        <v>23</v>
      </c>
    </row>
    <row r="1192" spans="1:13">
      <c r="A1192" s="94"/>
      <c r="B1192" s="76" t="s">
        <v>833</v>
      </c>
      <c r="C1192" s="26" t="s">
        <v>834</v>
      </c>
      <c r="D1192" s="26" t="s">
        <v>67</v>
      </c>
      <c r="E1192" s="228">
        <v>3</v>
      </c>
      <c r="F1192" s="223">
        <v>7000</v>
      </c>
      <c r="G1192" s="2">
        <f t="shared" si="190"/>
        <v>21000</v>
      </c>
      <c r="H1192" s="238">
        <f t="shared" si="191"/>
        <v>1050</v>
      </c>
      <c r="I1192" s="51">
        <f t="shared" si="196"/>
        <v>1400</v>
      </c>
      <c r="J1192" s="52">
        <f t="shared" si="197"/>
        <v>1.7830188679245282</v>
      </c>
      <c r="K1192" s="52">
        <f t="shared" ref="K1192:K1198" si="198">+J1192*E1192</f>
        <v>5.3490566037735849</v>
      </c>
      <c r="L1192" s="219"/>
      <c r="M1192" s="245" t="s">
        <v>87</v>
      </c>
    </row>
    <row r="1193" spans="1:13">
      <c r="A1193" s="251" t="s">
        <v>786</v>
      </c>
      <c r="B1193" s="76" t="s">
        <v>835</v>
      </c>
      <c r="C1193" s="204" t="s">
        <v>836</v>
      </c>
      <c r="D1193" s="207" t="s">
        <v>67</v>
      </c>
      <c r="E1193" s="230">
        <v>12</v>
      </c>
      <c r="F1193" s="236">
        <v>12000</v>
      </c>
      <c r="G1193" s="236">
        <f t="shared" si="190"/>
        <v>144000</v>
      </c>
      <c r="H1193" s="239">
        <f t="shared" si="191"/>
        <v>1800</v>
      </c>
      <c r="I1193" s="206">
        <f t="shared" si="196"/>
        <v>2400</v>
      </c>
      <c r="J1193" s="84">
        <f t="shared" si="197"/>
        <v>3.0566037735849059</v>
      </c>
      <c r="K1193" s="241">
        <f t="shared" si="198"/>
        <v>36.679245283018872</v>
      </c>
      <c r="L1193" s="219"/>
      <c r="M1193" s="245" t="s">
        <v>20</v>
      </c>
    </row>
    <row r="1194" spans="1:13">
      <c r="A1194" s="1" t="s">
        <v>786</v>
      </c>
      <c r="B1194" s="76" t="s">
        <v>835</v>
      </c>
      <c r="C1194" s="26" t="s">
        <v>836</v>
      </c>
      <c r="D1194" s="26" t="s">
        <v>67</v>
      </c>
      <c r="E1194" s="228">
        <v>12</v>
      </c>
      <c r="F1194" s="223">
        <v>12000</v>
      </c>
      <c r="G1194" s="2">
        <f t="shared" si="190"/>
        <v>144000</v>
      </c>
      <c r="H1194" s="51">
        <f t="shared" si="191"/>
        <v>1800</v>
      </c>
      <c r="I1194" s="51">
        <f t="shared" si="196"/>
        <v>2400</v>
      </c>
      <c r="J1194" s="52">
        <f t="shared" si="197"/>
        <v>3.0566037735849059</v>
      </c>
      <c r="K1194" s="52">
        <f t="shared" si="198"/>
        <v>36.679245283018872</v>
      </c>
      <c r="L1194" s="219"/>
      <c r="M1194" s="245" t="s">
        <v>89</v>
      </c>
    </row>
    <row r="1195" spans="1:13">
      <c r="A1195" s="94" t="s">
        <v>786</v>
      </c>
      <c r="B1195" s="76" t="s">
        <v>835</v>
      </c>
      <c r="C1195" s="26" t="s">
        <v>836</v>
      </c>
      <c r="D1195" s="26" t="s">
        <v>67</v>
      </c>
      <c r="E1195" s="228">
        <v>12</v>
      </c>
      <c r="F1195" s="223">
        <v>13000</v>
      </c>
      <c r="G1195" s="2">
        <f t="shared" si="190"/>
        <v>156000</v>
      </c>
      <c r="H1195" s="238">
        <f t="shared" si="191"/>
        <v>1950</v>
      </c>
      <c r="I1195" s="51">
        <f>+F1195*0.15</f>
        <v>1950</v>
      </c>
      <c r="J1195" s="240">
        <f t="shared" si="197"/>
        <v>3.1886792452830188</v>
      </c>
      <c r="K1195" s="51">
        <f t="shared" si="198"/>
        <v>38.264150943396224</v>
      </c>
      <c r="L1195" s="240">
        <f>+E1195*J1195</f>
        <v>38.264150943396224</v>
      </c>
      <c r="M1195" s="245" t="s">
        <v>117</v>
      </c>
    </row>
    <row r="1196" spans="1:13">
      <c r="A1196" s="1" t="s">
        <v>786</v>
      </c>
      <c r="B1196" s="76" t="s">
        <v>835</v>
      </c>
      <c r="C1196" s="26" t="s">
        <v>836</v>
      </c>
      <c r="D1196" s="26" t="s">
        <v>67</v>
      </c>
      <c r="E1196" s="225">
        <v>12</v>
      </c>
      <c r="F1196" s="223">
        <v>13000</v>
      </c>
      <c r="G1196" s="2">
        <f t="shared" si="190"/>
        <v>156000</v>
      </c>
      <c r="H1196" s="238">
        <f t="shared" si="191"/>
        <v>1950</v>
      </c>
      <c r="I1196" s="51">
        <f t="shared" ref="I1196:I1202" si="199">+F1196*0.2</f>
        <v>2600</v>
      </c>
      <c r="J1196" s="52">
        <f t="shared" si="197"/>
        <v>3.3113207547169812</v>
      </c>
      <c r="K1196" s="53">
        <f t="shared" si="198"/>
        <v>39.735849056603776</v>
      </c>
      <c r="L1196" s="52">
        <f>J1196*E1196</f>
        <v>39.735849056603776</v>
      </c>
      <c r="M1196" s="245" t="s">
        <v>118</v>
      </c>
    </row>
    <row r="1197" spans="1:13">
      <c r="A1197" s="218" t="s">
        <v>786</v>
      </c>
      <c r="B1197" s="76" t="s">
        <v>835</v>
      </c>
      <c r="C1197" s="26" t="s">
        <v>836</v>
      </c>
      <c r="D1197" s="25" t="s">
        <v>67</v>
      </c>
      <c r="E1197" s="64">
        <v>12</v>
      </c>
      <c r="F1197" s="48">
        <v>12000</v>
      </c>
      <c r="G1197" s="9">
        <f t="shared" si="190"/>
        <v>144000</v>
      </c>
      <c r="H1197" s="51">
        <f t="shared" si="191"/>
        <v>1800</v>
      </c>
      <c r="I1197" s="51">
        <f t="shared" si="199"/>
        <v>2400</v>
      </c>
      <c r="J1197" s="52">
        <f t="shared" si="197"/>
        <v>3.0566037735849059</v>
      </c>
      <c r="K1197" s="53">
        <f t="shared" si="198"/>
        <v>36.679245283018872</v>
      </c>
      <c r="L1197" s="54">
        <f>+J1197*E1197</f>
        <v>36.679245283018872</v>
      </c>
      <c r="M1197" s="245" t="s">
        <v>30</v>
      </c>
    </row>
    <row r="1198" spans="1:13">
      <c r="A1198" s="94" t="s">
        <v>786</v>
      </c>
      <c r="B1198" s="76" t="s">
        <v>835</v>
      </c>
      <c r="C1198" s="26" t="s">
        <v>836</v>
      </c>
      <c r="D1198" s="104" t="s">
        <v>67</v>
      </c>
      <c r="E1198" s="228">
        <v>12</v>
      </c>
      <c r="F1198" s="223">
        <v>12000</v>
      </c>
      <c r="G1198" s="2">
        <f t="shared" si="190"/>
        <v>144000</v>
      </c>
      <c r="H1198" s="238">
        <f t="shared" si="191"/>
        <v>1800</v>
      </c>
      <c r="I1198" s="51">
        <f t="shared" si="199"/>
        <v>2400</v>
      </c>
      <c r="J1198" s="52">
        <f>+(H1198+I1198+F1198)/5300</f>
        <v>3.0566037735849059</v>
      </c>
      <c r="K1198" s="53">
        <f t="shared" si="198"/>
        <v>36.679245283018872</v>
      </c>
      <c r="L1198" s="52">
        <f>E1198*J1198</f>
        <v>36.679245283018872</v>
      </c>
      <c r="M1198" s="245" t="s">
        <v>93</v>
      </c>
    </row>
    <row r="1199" spans="1:13">
      <c r="A1199" s="94"/>
      <c r="B1199" s="76" t="s">
        <v>835</v>
      </c>
      <c r="C1199" s="26" t="s">
        <v>836</v>
      </c>
      <c r="D1199" s="26" t="s">
        <v>67</v>
      </c>
      <c r="E1199" s="228">
        <v>12</v>
      </c>
      <c r="F1199" s="235">
        <v>12000</v>
      </c>
      <c r="G1199" s="2">
        <f t="shared" si="190"/>
        <v>144000</v>
      </c>
      <c r="H1199" s="51">
        <f t="shared" si="191"/>
        <v>1800</v>
      </c>
      <c r="I1199" s="51">
        <f t="shared" si="199"/>
        <v>2400</v>
      </c>
      <c r="J1199" s="84">
        <f>+(F1199+H1199+I1199)/5300</f>
        <v>3.0566037735849059</v>
      </c>
      <c r="K1199" s="52">
        <f>J1199*E1199</f>
        <v>36.679245283018872</v>
      </c>
      <c r="L1199" s="219"/>
      <c r="M1199" s="245" t="s">
        <v>23</v>
      </c>
    </row>
    <row r="1200" spans="1:13">
      <c r="A1200" s="94"/>
      <c r="B1200" s="76" t="s">
        <v>835</v>
      </c>
      <c r="C1200" s="26" t="s">
        <v>836</v>
      </c>
      <c r="D1200" s="26" t="s">
        <v>67</v>
      </c>
      <c r="E1200" s="228">
        <v>12</v>
      </c>
      <c r="F1200" s="223">
        <v>12000</v>
      </c>
      <c r="G1200" s="2">
        <f t="shared" si="190"/>
        <v>144000</v>
      </c>
      <c r="H1200" s="238">
        <f t="shared" si="191"/>
        <v>1800</v>
      </c>
      <c r="I1200" s="51">
        <f t="shared" si="199"/>
        <v>2400</v>
      </c>
      <c r="J1200" s="52">
        <f>+(F1200+H1200+I1200)/5300</f>
        <v>3.0566037735849059</v>
      </c>
      <c r="K1200" s="52">
        <f>+J1200*E1200</f>
        <v>36.679245283018872</v>
      </c>
      <c r="L1200" s="219"/>
      <c r="M1200" s="245" t="s">
        <v>87</v>
      </c>
    </row>
    <row r="1201" spans="1:13">
      <c r="A1201" s="94"/>
      <c r="B1201" s="76" t="s">
        <v>835</v>
      </c>
      <c r="C1201" s="26" t="s">
        <v>836</v>
      </c>
      <c r="D1201" s="26" t="s">
        <v>67</v>
      </c>
      <c r="E1201" s="228">
        <v>12</v>
      </c>
      <c r="F1201" s="223">
        <v>12000</v>
      </c>
      <c r="G1201" s="2">
        <f t="shared" si="190"/>
        <v>144000</v>
      </c>
      <c r="H1201" s="238">
        <f t="shared" si="191"/>
        <v>1800</v>
      </c>
      <c r="I1201" s="51">
        <f t="shared" si="199"/>
        <v>2400</v>
      </c>
      <c r="J1201" s="128">
        <f>+(F1201+H1201+I1201)/5300</f>
        <v>3.0566037735849059</v>
      </c>
      <c r="K1201" s="53">
        <f>+J1201*E1201</f>
        <v>36.679245283018872</v>
      </c>
      <c r="L1201" s="52">
        <f>E1201*J1201</f>
        <v>36.679245283018872</v>
      </c>
      <c r="M1201" s="245" t="s">
        <v>15</v>
      </c>
    </row>
    <row r="1202" spans="1:13">
      <c r="A1202" s="94"/>
      <c r="B1202" s="95" t="s">
        <v>837</v>
      </c>
      <c r="C1202" s="26" t="s">
        <v>834</v>
      </c>
      <c r="D1202" s="26" t="s">
        <v>67</v>
      </c>
      <c r="E1202" s="228">
        <v>3</v>
      </c>
      <c r="F1202" s="223">
        <v>7000</v>
      </c>
      <c r="G1202" s="2">
        <f t="shared" si="190"/>
        <v>21000</v>
      </c>
      <c r="H1202" s="238">
        <f t="shared" si="191"/>
        <v>1050</v>
      </c>
      <c r="I1202" s="51">
        <f t="shared" si="199"/>
        <v>1400</v>
      </c>
      <c r="J1202" s="128">
        <f>+(F1202+H1202+I1202)/5300</f>
        <v>1.7830188679245282</v>
      </c>
      <c r="K1202" s="53">
        <f>+J1202*E1202</f>
        <v>5.3490566037735849</v>
      </c>
      <c r="L1202" s="52">
        <f>E1202*J1202</f>
        <v>5.3490566037735849</v>
      </c>
      <c r="M1202" s="245" t="s">
        <v>15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"/>
  <sheetViews>
    <sheetView zoomScale="85" zoomScaleNormal="85" workbookViewId="0">
      <selection activeCell="E53" sqref="E53:E73"/>
    </sheetView>
  </sheetViews>
  <sheetFormatPr defaultColWidth="11.42578125" defaultRowHeight="14.45"/>
  <cols>
    <col min="1" max="1" width="16.5703125" style="435" bestFit="1" customWidth="1"/>
    <col min="2" max="2" width="61" style="435" bestFit="1" customWidth="1"/>
    <col min="3" max="3" width="7.140625" style="470" bestFit="1" customWidth="1"/>
    <col min="4" max="4" width="12.140625" style="534" customWidth="1"/>
    <col min="5" max="5" width="15.7109375" style="437" customWidth="1"/>
    <col min="6" max="6" width="22.42578125" style="506" bestFit="1" customWidth="1"/>
  </cols>
  <sheetData>
    <row r="1" spans="1:7">
      <c r="A1" s="390"/>
      <c r="B1" s="420"/>
      <c r="E1" s="486"/>
      <c r="G1" s="374"/>
    </row>
    <row r="2" spans="1:7" ht="27.75" customHeight="1">
      <c r="A2" s="585" t="s">
        <v>1270</v>
      </c>
      <c r="B2" s="585"/>
      <c r="C2" s="585"/>
      <c r="D2" s="585"/>
      <c r="E2" s="585"/>
      <c r="F2" s="437"/>
      <c r="G2" s="374"/>
    </row>
    <row r="3" spans="1:7">
      <c r="A3" s="550"/>
      <c r="B3" s="550"/>
      <c r="C3" s="550"/>
      <c r="D3" s="550"/>
      <c r="E3" s="565"/>
      <c r="F3" s="565"/>
      <c r="G3" s="374"/>
    </row>
    <row r="4" spans="1:7">
      <c r="A4" s="498" t="s">
        <v>1271</v>
      </c>
      <c r="B4" s="498"/>
      <c r="C4" s="499"/>
      <c r="D4" s="500"/>
      <c r="E4" s="501"/>
      <c r="F4" s="501"/>
      <c r="G4" s="374"/>
    </row>
    <row r="5" spans="1:7">
      <c r="A5" s="390"/>
      <c r="B5" s="420"/>
      <c r="E5" s="486"/>
      <c r="G5" s="374"/>
    </row>
    <row r="6" spans="1:7">
      <c r="A6" s="438" t="s">
        <v>0</v>
      </c>
      <c r="B6" s="439" t="s">
        <v>967</v>
      </c>
      <c r="C6" s="438" t="s">
        <v>3</v>
      </c>
      <c r="D6" s="441" t="s">
        <v>4</v>
      </c>
      <c r="E6" s="441" t="s">
        <v>1097</v>
      </c>
      <c r="F6" s="441" t="s">
        <v>1199</v>
      </c>
      <c r="G6" s="368"/>
    </row>
    <row r="7" spans="1:7">
      <c r="A7" s="442" t="s">
        <v>715</v>
      </c>
      <c r="B7" s="443" t="s">
        <v>716</v>
      </c>
      <c r="C7" s="442"/>
      <c r="D7" s="472"/>
      <c r="E7" s="445"/>
      <c r="F7" s="445" t="s">
        <v>28</v>
      </c>
    </row>
    <row r="8" spans="1:7">
      <c r="A8" s="398" t="s">
        <v>717</v>
      </c>
      <c r="B8" s="399" t="s">
        <v>720</v>
      </c>
      <c r="C8" s="398" t="s">
        <v>123</v>
      </c>
      <c r="D8" s="543">
        <v>1</v>
      </c>
      <c r="E8" s="446"/>
      <c r="F8" s="446">
        <f>+E8*D8</f>
        <v>0</v>
      </c>
    </row>
    <row r="9" spans="1:7">
      <c r="A9" s="442" t="s">
        <v>1034</v>
      </c>
      <c r="B9" s="443" t="s">
        <v>827</v>
      </c>
      <c r="C9" s="442"/>
      <c r="D9" s="472"/>
      <c r="E9" s="445"/>
      <c r="F9" s="445"/>
      <c r="G9" s="374"/>
    </row>
    <row r="10" spans="1:7">
      <c r="A10" s="415" t="s">
        <v>1035</v>
      </c>
      <c r="B10" s="401" t="s">
        <v>831</v>
      </c>
      <c r="C10" s="403" t="s">
        <v>67</v>
      </c>
      <c r="D10" s="544">
        <v>12</v>
      </c>
      <c r="E10" s="446"/>
      <c r="F10" s="446">
        <f t="shared" ref="F10:F28" si="0">+E10*D10</f>
        <v>0</v>
      </c>
      <c r="G10" s="374"/>
    </row>
    <row r="11" spans="1:7">
      <c r="A11" s="415" t="s">
        <v>1036</v>
      </c>
      <c r="B11" s="401" t="s">
        <v>834</v>
      </c>
      <c r="C11" s="403" t="s">
        <v>67</v>
      </c>
      <c r="D11" s="544">
        <v>3</v>
      </c>
      <c r="E11" s="446"/>
      <c r="F11" s="446">
        <f t="shared" si="0"/>
        <v>0</v>
      </c>
      <c r="G11" s="374"/>
    </row>
    <row r="12" spans="1:7">
      <c r="A12" s="415" t="s">
        <v>837</v>
      </c>
      <c r="B12" s="401" t="s">
        <v>836</v>
      </c>
      <c r="C12" s="403" t="s">
        <v>67</v>
      </c>
      <c r="D12" s="544">
        <v>12</v>
      </c>
      <c r="E12" s="446"/>
      <c r="F12" s="446">
        <f t="shared" si="0"/>
        <v>0</v>
      </c>
      <c r="G12" s="374"/>
    </row>
    <row r="13" spans="1:7">
      <c r="A13" s="442" t="s">
        <v>899</v>
      </c>
      <c r="B13" s="443" t="s">
        <v>323</v>
      </c>
      <c r="C13" s="442"/>
      <c r="D13" s="472"/>
      <c r="E13" s="445"/>
      <c r="F13" s="445"/>
      <c r="G13" s="374"/>
    </row>
    <row r="14" spans="1:7">
      <c r="A14" s="398" t="s">
        <v>900</v>
      </c>
      <c r="B14" s="401" t="s">
        <v>901</v>
      </c>
      <c r="C14" s="403" t="s">
        <v>326</v>
      </c>
      <c r="D14" s="467">
        <v>3</v>
      </c>
      <c r="E14" s="446"/>
      <c r="F14" s="446">
        <f t="shared" si="0"/>
        <v>0</v>
      </c>
      <c r="G14" s="374"/>
    </row>
    <row r="15" spans="1:7">
      <c r="A15" s="398" t="s">
        <v>902</v>
      </c>
      <c r="B15" s="401" t="s">
        <v>328</v>
      </c>
      <c r="C15" s="403" t="s">
        <v>326</v>
      </c>
      <c r="D15" s="467">
        <v>27</v>
      </c>
      <c r="E15" s="446"/>
      <c r="F15" s="446">
        <f t="shared" si="0"/>
        <v>0</v>
      </c>
      <c r="G15" s="374"/>
    </row>
    <row r="16" spans="1:7">
      <c r="A16" s="442" t="s">
        <v>1037</v>
      </c>
      <c r="B16" s="443" t="s">
        <v>14</v>
      </c>
      <c r="C16" s="442"/>
      <c r="D16" s="472"/>
      <c r="E16" s="445"/>
      <c r="F16" s="445"/>
      <c r="G16" s="374"/>
    </row>
    <row r="17" spans="1:7">
      <c r="A17" s="415" t="s">
        <v>1038</v>
      </c>
      <c r="B17" s="401" t="s">
        <v>1039</v>
      </c>
      <c r="C17" s="403" t="s">
        <v>326</v>
      </c>
      <c r="D17" s="467">
        <v>2</v>
      </c>
      <c r="E17" s="446"/>
      <c r="F17" s="446">
        <f t="shared" si="0"/>
        <v>0</v>
      </c>
      <c r="G17" s="374"/>
    </row>
    <row r="18" spans="1:7">
      <c r="A18" s="415" t="s">
        <v>1040</v>
      </c>
      <c r="B18" s="401" t="s">
        <v>526</v>
      </c>
      <c r="C18" s="403" t="s">
        <v>326</v>
      </c>
      <c r="D18" s="467">
        <v>1</v>
      </c>
      <c r="E18" s="446"/>
      <c r="F18" s="446">
        <f t="shared" si="0"/>
        <v>0</v>
      </c>
      <c r="G18" s="374"/>
    </row>
    <row r="19" spans="1:7">
      <c r="A19" s="415" t="s">
        <v>1041</v>
      </c>
      <c r="B19" s="401" t="s">
        <v>529</v>
      </c>
      <c r="C19" s="403" t="s">
        <v>326</v>
      </c>
      <c r="D19" s="467">
        <v>1</v>
      </c>
      <c r="E19" s="446"/>
      <c r="F19" s="446">
        <f t="shared" si="0"/>
        <v>0</v>
      </c>
      <c r="G19" s="374"/>
    </row>
    <row r="20" spans="1:7">
      <c r="A20" s="415" t="s">
        <v>1042</v>
      </c>
      <c r="B20" s="401" t="s">
        <v>608</v>
      </c>
      <c r="C20" s="403" t="s">
        <v>326</v>
      </c>
      <c r="D20" s="467">
        <v>4</v>
      </c>
      <c r="E20" s="446"/>
      <c r="F20" s="446">
        <f t="shared" si="0"/>
        <v>0</v>
      </c>
      <c r="G20" s="374"/>
    </row>
    <row r="21" spans="1:7">
      <c r="A21" s="415" t="s">
        <v>1043</v>
      </c>
      <c r="B21" s="401" t="s">
        <v>582</v>
      </c>
      <c r="C21" s="403" t="s">
        <v>326</v>
      </c>
      <c r="D21" s="467">
        <v>4</v>
      </c>
      <c r="E21" s="446"/>
      <c r="F21" s="446">
        <f t="shared" si="0"/>
        <v>0</v>
      </c>
      <c r="G21" s="374"/>
    </row>
    <row r="22" spans="1:7">
      <c r="A22" s="415" t="s">
        <v>1044</v>
      </c>
      <c r="B22" s="401" t="s">
        <v>595</v>
      </c>
      <c r="C22" s="403" t="s">
        <v>326</v>
      </c>
      <c r="D22" s="467">
        <v>2</v>
      </c>
      <c r="E22" s="446"/>
      <c r="F22" s="446">
        <f t="shared" si="0"/>
        <v>0</v>
      </c>
      <c r="G22" s="374"/>
    </row>
    <row r="23" spans="1:7">
      <c r="A23" s="415" t="s">
        <v>1045</v>
      </c>
      <c r="B23" s="401" t="s">
        <v>590</v>
      </c>
      <c r="C23" s="403" t="s">
        <v>326</v>
      </c>
      <c r="D23" s="467">
        <v>4</v>
      </c>
      <c r="E23" s="446"/>
      <c r="F23" s="446">
        <f t="shared" si="0"/>
        <v>0</v>
      </c>
      <c r="G23" s="374"/>
    </row>
    <row r="24" spans="1:7">
      <c r="A24" s="415" t="s">
        <v>1046</v>
      </c>
      <c r="B24" s="401" t="s">
        <v>506</v>
      </c>
      <c r="C24" s="403" t="s">
        <v>326</v>
      </c>
      <c r="D24" s="467">
        <v>1</v>
      </c>
      <c r="E24" s="446"/>
      <c r="F24" s="446">
        <f t="shared" si="0"/>
        <v>0</v>
      </c>
      <c r="G24" s="374"/>
    </row>
    <row r="25" spans="1:7">
      <c r="A25" s="415" t="s">
        <v>570</v>
      </c>
      <c r="B25" s="401" t="s">
        <v>571</v>
      </c>
      <c r="C25" s="403" t="s">
        <v>326</v>
      </c>
      <c r="D25" s="467">
        <v>1</v>
      </c>
      <c r="E25" s="446"/>
      <c r="F25" s="446">
        <f t="shared" si="0"/>
        <v>0</v>
      </c>
      <c r="G25" s="374"/>
    </row>
    <row r="26" spans="1:7">
      <c r="A26" s="415" t="s">
        <v>1047</v>
      </c>
      <c r="B26" s="401" t="s">
        <v>553</v>
      </c>
      <c r="C26" s="403" t="s">
        <v>326</v>
      </c>
      <c r="D26" s="467">
        <v>1</v>
      </c>
      <c r="E26" s="446"/>
      <c r="F26" s="446">
        <f t="shared" si="0"/>
        <v>0</v>
      </c>
      <c r="G26" s="374"/>
    </row>
    <row r="27" spans="1:7">
      <c r="A27" s="442" t="s">
        <v>1049</v>
      </c>
      <c r="B27" s="443" t="s">
        <v>683</v>
      </c>
      <c r="C27" s="442"/>
      <c r="D27" s="472"/>
      <c r="E27" s="445"/>
      <c r="F27" s="445"/>
      <c r="G27" s="374"/>
    </row>
    <row r="28" spans="1:7">
      <c r="A28" s="404" t="s">
        <v>1054</v>
      </c>
      <c r="B28" s="401" t="s">
        <v>685</v>
      </c>
      <c r="C28" s="403" t="s">
        <v>326</v>
      </c>
      <c r="D28" s="467">
        <v>1</v>
      </c>
      <c r="E28" s="446"/>
      <c r="F28" s="446">
        <f t="shared" si="0"/>
        <v>0</v>
      </c>
      <c r="G28" s="374"/>
    </row>
    <row r="29" spans="1:7">
      <c r="A29" s="558"/>
      <c r="B29" s="512" t="s">
        <v>1143</v>
      </c>
      <c r="C29" s="513"/>
      <c r="D29" s="514"/>
      <c r="E29" s="515"/>
      <c r="F29" s="516">
        <f>SUM(F8:F28)</f>
        <v>0</v>
      </c>
      <c r="G29" s="374"/>
    </row>
    <row r="30" spans="1:7">
      <c r="A30" s="504"/>
      <c r="B30" s="419"/>
      <c r="C30" s="551"/>
      <c r="D30" s="548"/>
      <c r="E30" s="486"/>
      <c r="G30" s="374"/>
    </row>
    <row r="31" spans="1:7">
      <c r="A31" s="498" t="s">
        <v>1272</v>
      </c>
      <c r="B31" s="498"/>
      <c r="C31" s="499"/>
      <c r="D31" s="500"/>
      <c r="E31" s="501"/>
      <c r="F31" s="501"/>
      <c r="G31" s="374"/>
    </row>
    <row r="32" spans="1:7">
      <c r="A32" s="390"/>
      <c r="B32" s="420"/>
      <c r="E32" s="486"/>
      <c r="G32" s="374"/>
    </row>
    <row r="33" spans="1:12">
      <c r="A33" s="438" t="s">
        <v>0</v>
      </c>
      <c r="B33" s="439" t="s">
        <v>967</v>
      </c>
      <c r="C33" s="438" t="s">
        <v>3</v>
      </c>
      <c r="D33" s="441" t="s">
        <v>4</v>
      </c>
      <c r="E33" s="441" t="s">
        <v>1097</v>
      </c>
      <c r="F33" s="441" t="s">
        <v>1199</v>
      </c>
      <c r="G33" s="374"/>
    </row>
    <row r="34" spans="1:12">
      <c r="A34" s="442" t="s">
        <v>773</v>
      </c>
      <c r="B34" s="443" t="s">
        <v>774</v>
      </c>
      <c r="C34" s="442"/>
      <c r="D34" s="472"/>
      <c r="E34" s="445"/>
      <c r="F34" s="445"/>
      <c r="G34" s="377"/>
    </row>
    <row r="35" spans="1:12">
      <c r="A35" s="415" t="s">
        <v>785</v>
      </c>
      <c r="B35" s="401" t="s">
        <v>779</v>
      </c>
      <c r="C35" s="403" t="s">
        <v>123</v>
      </c>
      <c r="D35" s="467">
        <v>1</v>
      </c>
      <c r="E35" s="446"/>
      <c r="F35" s="446">
        <f>+E35*D35</f>
        <v>0</v>
      </c>
      <c r="G35" s="374"/>
    </row>
    <row r="36" spans="1:12">
      <c r="A36" s="415" t="s">
        <v>778</v>
      </c>
      <c r="B36" s="401" t="s">
        <v>782</v>
      </c>
      <c r="C36" s="403" t="s">
        <v>783</v>
      </c>
      <c r="D36" s="467">
        <v>2</v>
      </c>
      <c r="E36" s="446"/>
      <c r="F36" s="446">
        <f t="shared" ref="F36:F44" si="1">+E36*D36</f>
        <v>0</v>
      </c>
      <c r="G36" s="374"/>
    </row>
    <row r="37" spans="1:12">
      <c r="A37" s="415" t="s">
        <v>784</v>
      </c>
      <c r="B37" s="401" t="s">
        <v>787</v>
      </c>
      <c r="C37" s="403" t="s">
        <v>783</v>
      </c>
      <c r="D37" s="467">
        <v>3.5</v>
      </c>
      <c r="E37" s="446"/>
      <c r="F37" s="446">
        <f t="shared" si="1"/>
        <v>0</v>
      </c>
      <c r="G37" s="374"/>
    </row>
    <row r="38" spans="1:12">
      <c r="A38" s="415" t="s">
        <v>788</v>
      </c>
      <c r="B38" s="401" t="s">
        <v>790</v>
      </c>
      <c r="C38" s="403" t="s">
        <v>783</v>
      </c>
      <c r="D38" s="467">
        <v>4</v>
      </c>
      <c r="E38" s="446"/>
      <c r="F38" s="446">
        <f t="shared" si="1"/>
        <v>0</v>
      </c>
      <c r="G38" s="374"/>
    </row>
    <row r="39" spans="1:12">
      <c r="A39" s="415" t="s">
        <v>791</v>
      </c>
      <c r="B39" s="401" t="s">
        <v>795</v>
      </c>
      <c r="C39" s="403" t="s">
        <v>794</v>
      </c>
      <c r="D39" s="467">
        <v>2.5</v>
      </c>
      <c r="E39" s="446"/>
      <c r="F39" s="446">
        <f t="shared" si="1"/>
        <v>0</v>
      </c>
      <c r="G39" s="374"/>
    </row>
    <row r="40" spans="1:12">
      <c r="A40" s="415" t="s">
        <v>796</v>
      </c>
      <c r="B40" s="401" t="s">
        <v>798</v>
      </c>
      <c r="C40" s="403" t="s">
        <v>85</v>
      </c>
      <c r="D40" s="467">
        <v>1</v>
      </c>
      <c r="E40" s="446"/>
      <c r="F40" s="446">
        <f t="shared" si="1"/>
        <v>0</v>
      </c>
      <c r="G40" s="374"/>
    </row>
    <row r="41" spans="1:12">
      <c r="A41" s="415" t="s">
        <v>799</v>
      </c>
      <c r="B41" s="401" t="s">
        <v>800</v>
      </c>
      <c r="C41" s="403" t="s">
        <v>794</v>
      </c>
      <c r="D41" s="467">
        <v>35</v>
      </c>
      <c r="E41" s="446"/>
      <c r="F41" s="446">
        <f t="shared" si="1"/>
        <v>0</v>
      </c>
      <c r="G41" s="374"/>
    </row>
    <row r="42" spans="1:12">
      <c r="A42" s="415" t="s">
        <v>801</v>
      </c>
      <c r="B42" s="401" t="s">
        <v>806</v>
      </c>
      <c r="C42" s="403" t="s">
        <v>67</v>
      </c>
      <c r="D42" s="467">
        <v>3</v>
      </c>
      <c r="E42" s="446"/>
      <c r="F42" s="446">
        <f t="shared" si="1"/>
        <v>0</v>
      </c>
      <c r="G42" s="374"/>
    </row>
    <row r="43" spans="1:12">
      <c r="A43" s="415" t="s">
        <v>808</v>
      </c>
      <c r="B43" s="401" t="s">
        <v>809</v>
      </c>
      <c r="C43" s="403" t="s">
        <v>175</v>
      </c>
      <c r="D43" s="467">
        <v>1</v>
      </c>
      <c r="E43" s="446"/>
      <c r="F43" s="446">
        <f t="shared" si="1"/>
        <v>0</v>
      </c>
      <c r="G43" s="374"/>
    </row>
    <row r="44" spans="1:12">
      <c r="A44" s="415" t="s">
        <v>781</v>
      </c>
      <c r="B44" s="401" t="s">
        <v>1226</v>
      </c>
      <c r="C44" s="403" t="s">
        <v>67</v>
      </c>
      <c r="D44" s="467">
        <v>153</v>
      </c>
      <c r="E44" s="446"/>
      <c r="F44" s="446">
        <f t="shared" si="1"/>
        <v>0</v>
      </c>
      <c r="G44" s="374"/>
    </row>
    <row r="45" spans="1:12">
      <c r="A45" s="558"/>
      <c r="B45" s="512" t="s">
        <v>1273</v>
      </c>
      <c r="C45" s="513"/>
      <c r="D45" s="514"/>
      <c r="E45" s="515"/>
      <c r="F45" s="516">
        <f>SUM(F35:F44)</f>
        <v>0</v>
      </c>
      <c r="G45" s="374"/>
    </row>
    <row r="46" spans="1:12">
      <c r="A46" s="558"/>
      <c r="B46" s="512" t="s">
        <v>1274</v>
      </c>
      <c r="C46" s="513"/>
      <c r="D46" s="514"/>
      <c r="E46" s="515"/>
      <c r="F46" s="516">
        <f>+F45+F29</f>
        <v>0</v>
      </c>
      <c r="G46" s="374"/>
    </row>
    <row r="47" spans="1:12">
      <c r="A47" s="390"/>
      <c r="B47" s="420"/>
      <c r="E47" s="486"/>
      <c r="G47" s="375"/>
      <c r="H47" s="375"/>
      <c r="I47" s="375"/>
      <c r="J47" s="375"/>
      <c r="K47" s="375"/>
      <c r="L47" s="375"/>
    </row>
    <row r="48" spans="1:12">
      <c r="A48" s="498" t="s">
        <v>1275</v>
      </c>
      <c r="B48" s="498"/>
      <c r="C48" s="499"/>
      <c r="D48" s="500"/>
      <c r="E48" s="501"/>
      <c r="F48" s="501"/>
      <c r="G48" s="375"/>
      <c r="H48" s="375"/>
      <c r="I48" s="375"/>
      <c r="J48" s="375"/>
      <c r="K48" s="375"/>
      <c r="L48" s="375"/>
    </row>
    <row r="49" spans="1:12">
      <c r="A49" s="390"/>
      <c r="B49" s="419"/>
      <c r="E49" s="486"/>
      <c r="G49" s="375"/>
      <c r="H49" s="375"/>
      <c r="I49" s="375"/>
      <c r="J49" s="375"/>
      <c r="K49" s="375"/>
      <c r="L49" s="375"/>
    </row>
    <row r="50" spans="1:12">
      <c r="A50" s="438" t="s">
        <v>0</v>
      </c>
      <c r="B50" s="439" t="s">
        <v>1155</v>
      </c>
      <c r="C50" s="438" t="s">
        <v>3</v>
      </c>
      <c r="D50" s="441" t="s">
        <v>4</v>
      </c>
      <c r="E50" s="441" t="s">
        <v>1097</v>
      </c>
      <c r="F50" s="441" t="s">
        <v>1199</v>
      </c>
      <c r="G50" s="375"/>
      <c r="H50" s="375"/>
      <c r="I50" s="375"/>
      <c r="J50" s="375"/>
      <c r="K50" s="375"/>
      <c r="L50" s="375"/>
    </row>
    <row r="51" spans="1:12">
      <c r="A51" s="442" t="s">
        <v>931</v>
      </c>
      <c r="B51" s="443" t="s">
        <v>206</v>
      </c>
      <c r="C51" s="442"/>
      <c r="D51" s="472"/>
      <c r="E51" s="445"/>
      <c r="F51" s="445"/>
      <c r="G51" s="374"/>
      <c r="H51" s="375"/>
      <c r="I51" s="375"/>
      <c r="J51" s="375"/>
      <c r="K51" s="375"/>
      <c r="L51" s="375"/>
    </row>
    <row r="52" spans="1:12">
      <c r="A52" s="442" t="s">
        <v>932</v>
      </c>
      <c r="B52" s="443" t="s">
        <v>208</v>
      </c>
      <c r="C52" s="442"/>
      <c r="D52" s="472"/>
      <c r="E52" s="445"/>
      <c r="F52" s="445"/>
      <c r="G52" s="374"/>
      <c r="H52" s="375"/>
      <c r="I52" s="375"/>
      <c r="J52" s="375"/>
      <c r="K52" s="375"/>
      <c r="L52" s="375"/>
    </row>
    <row r="53" spans="1:12">
      <c r="A53" s="406" t="s">
        <v>210</v>
      </c>
      <c r="B53" s="401" t="s">
        <v>216</v>
      </c>
      <c r="C53" s="398" t="s">
        <v>147</v>
      </c>
      <c r="D53" s="543">
        <v>1</v>
      </c>
      <c r="E53" s="446"/>
      <c r="F53" s="446">
        <f>+E53*D53</f>
        <v>0</v>
      </c>
      <c r="G53" s="374"/>
      <c r="H53" s="375"/>
      <c r="I53" s="375"/>
      <c r="J53" s="375"/>
      <c r="K53" s="375"/>
      <c r="L53" s="375"/>
    </row>
    <row r="54" spans="1:12">
      <c r="A54" s="442" t="s">
        <v>933</v>
      </c>
      <c r="B54" s="443" t="s">
        <v>1276</v>
      </c>
      <c r="C54" s="442"/>
      <c r="D54" s="472"/>
      <c r="E54" s="445"/>
      <c r="F54" s="445"/>
      <c r="G54" s="374"/>
      <c r="H54" s="375"/>
      <c r="I54" s="375"/>
      <c r="J54" s="375"/>
      <c r="K54" s="375"/>
      <c r="L54" s="375"/>
    </row>
    <row r="55" spans="1:12">
      <c r="A55" s="406" t="s">
        <v>934</v>
      </c>
      <c r="B55" s="401" t="s">
        <v>223</v>
      </c>
      <c r="C55" s="398" t="s">
        <v>224</v>
      </c>
      <c r="D55" s="543">
        <v>2</v>
      </c>
      <c r="E55" s="446"/>
      <c r="F55" s="446">
        <f t="shared" ref="F55:F73" si="2">+E55*D55</f>
        <v>0</v>
      </c>
      <c r="G55" s="374"/>
      <c r="H55" s="375"/>
      <c r="I55" s="375"/>
      <c r="J55" s="375"/>
      <c r="K55" s="375"/>
      <c r="L55" s="375"/>
    </row>
    <row r="56" spans="1:12">
      <c r="A56" s="406" t="s">
        <v>936</v>
      </c>
      <c r="B56" s="401" t="s">
        <v>229</v>
      </c>
      <c r="C56" s="398" t="s">
        <v>67</v>
      </c>
      <c r="D56" s="543">
        <v>100</v>
      </c>
      <c r="E56" s="446"/>
      <c r="F56" s="446">
        <f t="shared" si="2"/>
        <v>0</v>
      </c>
      <c r="G56" s="374"/>
      <c r="H56" s="375"/>
      <c r="I56" s="375"/>
      <c r="J56" s="375"/>
      <c r="K56" s="375"/>
      <c r="L56" s="375"/>
    </row>
    <row r="57" spans="1:12">
      <c r="A57" s="406" t="s">
        <v>937</v>
      </c>
      <c r="B57" s="401" t="s">
        <v>126</v>
      </c>
      <c r="C57" s="398" t="s">
        <v>67</v>
      </c>
      <c r="D57" s="543">
        <v>200</v>
      </c>
      <c r="E57" s="446"/>
      <c r="F57" s="446">
        <f t="shared" si="2"/>
        <v>0</v>
      </c>
      <c r="G57" s="374"/>
      <c r="H57" s="375"/>
      <c r="I57" s="375"/>
      <c r="J57" s="375"/>
      <c r="K57" s="375"/>
      <c r="L57" s="375"/>
    </row>
    <row r="58" spans="1:12">
      <c r="A58" s="406" t="s">
        <v>938</v>
      </c>
      <c r="B58" s="401" t="s">
        <v>122</v>
      </c>
      <c r="C58" s="398" t="s">
        <v>123</v>
      </c>
      <c r="D58" s="543">
        <v>1</v>
      </c>
      <c r="E58" s="446"/>
      <c r="F58" s="446">
        <f t="shared" si="2"/>
        <v>0</v>
      </c>
      <c r="G58" s="374"/>
      <c r="H58" s="375"/>
      <c r="I58" s="375"/>
      <c r="J58" s="375"/>
      <c r="K58" s="375"/>
      <c r="L58" s="375"/>
    </row>
    <row r="59" spans="1:12">
      <c r="A59" s="442" t="s">
        <v>939</v>
      </c>
      <c r="B59" s="443" t="s">
        <v>152</v>
      </c>
      <c r="C59" s="442"/>
      <c r="D59" s="472"/>
      <c r="E59" s="445"/>
      <c r="F59" s="445"/>
      <c r="G59" s="374"/>
      <c r="H59" s="375"/>
      <c r="I59" s="375"/>
      <c r="J59" s="375"/>
      <c r="K59" s="375"/>
      <c r="L59" s="375"/>
    </row>
    <row r="60" spans="1:12">
      <c r="A60" s="406" t="s">
        <v>153</v>
      </c>
      <c r="B60" s="401" t="s">
        <v>154</v>
      </c>
      <c r="C60" s="398" t="s">
        <v>155</v>
      </c>
      <c r="D60" s="543">
        <v>1</v>
      </c>
      <c r="E60" s="446"/>
      <c r="F60" s="446">
        <f t="shared" si="2"/>
        <v>0</v>
      </c>
      <c r="G60" s="374"/>
      <c r="H60" s="375"/>
      <c r="I60" s="375"/>
      <c r="J60" s="375"/>
      <c r="K60" s="375"/>
      <c r="L60" s="375"/>
    </row>
    <row r="61" spans="1:12">
      <c r="A61" s="442" t="s">
        <v>940</v>
      </c>
      <c r="B61" s="443" t="s">
        <v>144</v>
      </c>
      <c r="C61" s="442"/>
      <c r="D61" s="472"/>
      <c r="E61" s="445"/>
      <c r="F61" s="445"/>
      <c r="G61" s="374"/>
      <c r="H61" s="375"/>
      <c r="I61" s="375"/>
      <c r="J61" s="375"/>
      <c r="K61" s="375"/>
      <c r="L61" s="375"/>
    </row>
    <row r="62" spans="1:12">
      <c r="A62" s="406" t="s">
        <v>941</v>
      </c>
      <c r="B62" s="401" t="s">
        <v>150</v>
      </c>
      <c r="C62" s="398" t="s">
        <v>147</v>
      </c>
      <c r="D62" s="546">
        <v>7</v>
      </c>
      <c r="E62" s="446"/>
      <c r="F62" s="446">
        <f t="shared" si="2"/>
        <v>0</v>
      </c>
      <c r="G62" s="368"/>
      <c r="H62" s="375"/>
      <c r="I62" s="375"/>
      <c r="J62" s="375"/>
      <c r="K62" s="375"/>
      <c r="L62" s="375"/>
    </row>
    <row r="63" spans="1:12">
      <c r="A63" s="406" t="s">
        <v>942</v>
      </c>
      <c r="B63" s="401" t="s">
        <v>148</v>
      </c>
      <c r="C63" s="398" t="s">
        <v>147</v>
      </c>
      <c r="D63" s="546">
        <v>3</v>
      </c>
      <c r="E63" s="446"/>
      <c r="F63" s="446">
        <f t="shared" si="2"/>
        <v>0</v>
      </c>
      <c r="G63" s="374"/>
      <c r="H63" s="375"/>
      <c r="I63" s="375"/>
      <c r="J63" s="375"/>
      <c r="K63" s="375"/>
      <c r="L63" s="375"/>
    </row>
    <row r="64" spans="1:12">
      <c r="A64" s="442" t="s">
        <v>943</v>
      </c>
      <c r="B64" s="443" t="s">
        <v>162</v>
      </c>
      <c r="C64" s="442"/>
      <c r="D64" s="472"/>
      <c r="E64" s="445"/>
      <c r="F64" s="445">
        <f t="shared" si="2"/>
        <v>0</v>
      </c>
      <c r="G64" s="374"/>
      <c r="H64" s="375"/>
      <c r="I64" s="375"/>
      <c r="J64" s="375"/>
      <c r="K64" s="375"/>
      <c r="L64" s="375"/>
    </row>
    <row r="65" spans="1:12">
      <c r="A65" s="406" t="s">
        <v>944</v>
      </c>
      <c r="B65" s="401" t="s">
        <v>169</v>
      </c>
      <c r="C65" s="398" t="s">
        <v>147</v>
      </c>
      <c r="D65" s="543">
        <v>5</v>
      </c>
      <c r="E65" s="446"/>
      <c r="F65" s="446">
        <f t="shared" si="2"/>
        <v>0</v>
      </c>
      <c r="G65" s="374"/>
      <c r="H65" s="375"/>
      <c r="I65" s="375"/>
      <c r="J65" s="375"/>
      <c r="K65" s="375"/>
      <c r="L65" s="375"/>
    </row>
    <row r="66" spans="1:12">
      <c r="A66" s="442" t="s">
        <v>946</v>
      </c>
      <c r="B66" s="443" t="s">
        <v>171</v>
      </c>
      <c r="C66" s="442"/>
      <c r="D66" s="472"/>
      <c r="E66" s="445"/>
      <c r="F66" s="445"/>
      <c r="G66" s="374"/>
      <c r="H66" s="375"/>
      <c r="I66" s="375"/>
      <c r="J66" s="375"/>
      <c r="K66" s="375"/>
      <c r="L66" s="375"/>
    </row>
    <row r="67" spans="1:12">
      <c r="A67" s="406" t="s">
        <v>951</v>
      </c>
      <c r="B67" s="401" t="s">
        <v>188</v>
      </c>
      <c r="C67" s="398" t="s">
        <v>147</v>
      </c>
      <c r="D67" s="543">
        <v>1</v>
      </c>
      <c r="E67" s="446"/>
      <c r="F67" s="446">
        <f t="shared" si="2"/>
        <v>0</v>
      </c>
      <c r="G67" s="374"/>
      <c r="H67" s="375"/>
      <c r="I67" s="375"/>
      <c r="J67" s="375"/>
      <c r="K67" s="375"/>
      <c r="L67" s="375"/>
    </row>
    <row r="68" spans="1:12">
      <c r="A68" s="406" t="s">
        <v>952</v>
      </c>
      <c r="B68" s="401" t="s">
        <v>174</v>
      </c>
      <c r="C68" s="398" t="s">
        <v>147</v>
      </c>
      <c r="D68" s="543">
        <v>1</v>
      </c>
      <c r="E68" s="446"/>
      <c r="F68" s="446">
        <f t="shared" si="2"/>
        <v>0</v>
      </c>
      <c r="G68" s="374"/>
      <c r="H68" s="375"/>
      <c r="I68" s="375"/>
      <c r="J68" s="375"/>
      <c r="K68" s="375"/>
      <c r="L68" s="375"/>
    </row>
    <row r="69" spans="1:12">
      <c r="A69" s="406" t="s">
        <v>953</v>
      </c>
      <c r="B69" s="401" t="s">
        <v>180</v>
      </c>
      <c r="C69" s="398" t="s">
        <v>123</v>
      </c>
      <c r="D69" s="543">
        <v>1</v>
      </c>
      <c r="E69" s="446"/>
      <c r="F69" s="446">
        <f t="shared" si="2"/>
        <v>0</v>
      </c>
      <c r="G69" s="374"/>
      <c r="H69" s="375"/>
      <c r="I69" s="375"/>
      <c r="J69" s="375"/>
      <c r="K69" s="375"/>
      <c r="L69" s="375"/>
    </row>
    <row r="70" spans="1:12">
      <c r="A70" s="406" t="s">
        <v>959</v>
      </c>
      <c r="B70" s="401" t="s">
        <v>193</v>
      </c>
      <c r="C70" s="398" t="s">
        <v>147</v>
      </c>
      <c r="D70" s="543">
        <v>1</v>
      </c>
      <c r="E70" s="446"/>
      <c r="F70" s="446">
        <f>+E70*D70</f>
        <v>0</v>
      </c>
      <c r="G70" s="374"/>
      <c r="H70" s="375"/>
      <c r="I70" s="375"/>
      <c r="J70" s="375"/>
      <c r="K70" s="375"/>
      <c r="L70" s="375"/>
    </row>
    <row r="71" spans="1:12">
      <c r="A71" s="406" t="s">
        <v>960</v>
      </c>
      <c r="B71" s="401" t="s">
        <v>196</v>
      </c>
      <c r="C71" s="398" t="s">
        <v>147</v>
      </c>
      <c r="D71" s="543">
        <v>1</v>
      </c>
      <c r="E71" s="446"/>
      <c r="F71" s="446">
        <f>+E71*D71</f>
        <v>0</v>
      </c>
      <c r="G71" s="374"/>
      <c r="H71" s="375"/>
      <c r="I71" s="375"/>
      <c r="J71" s="375"/>
      <c r="K71" s="375"/>
      <c r="L71" s="375"/>
    </row>
    <row r="72" spans="1:12">
      <c r="A72" s="442" t="s">
        <v>963</v>
      </c>
      <c r="B72" s="443" t="s">
        <v>157</v>
      </c>
      <c r="C72" s="442"/>
      <c r="D72" s="472"/>
      <c r="E72" s="445"/>
      <c r="F72" s="445"/>
      <c r="G72" s="374"/>
      <c r="H72" s="375"/>
      <c r="I72" s="375"/>
      <c r="J72" s="375"/>
      <c r="K72" s="375"/>
      <c r="L72" s="375"/>
    </row>
    <row r="73" spans="1:12">
      <c r="A73" s="406" t="s">
        <v>964</v>
      </c>
      <c r="B73" s="401" t="s">
        <v>159</v>
      </c>
      <c r="C73" s="398" t="s">
        <v>147</v>
      </c>
      <c r="D73" s="543">
        <v>1</v>
      </c>
      <c r="E73" s="446"/>
      <c r="F73" s="446">
        <f t="shared" si="2"/>
        <v>0</v>
      </c>
      <c r="G73" s="374"/>
      <c r="H73" s="375"/>
      <c r="I73" s="375"/>
      <c r="J73" s="375"/>
      <c r="K73" s="375"/>
      <c r="L73" s="375"/>
    </row>
    <row r="74" spans="1:12">
      <c r="A74" s="558"/>
      <c r="B74" s="512" t="s">
        <v>1157</v>
      </c>
      <c r="C74" s="513"/>
      <c r="D74" s="514"/>
      <c r="E74" s="515"/>
      <c r="F74" s="516">
        <f>SUM(F53:F73)</f>
        <v>0</v>
      </c>
      <c r="G74" s="374"/>
      <c r="H74" s="375"/>
      <c r="I74" s="375"/>
      <c r="J74" s="375"/>
      <c r="K74" s="375"/>
      <c r="L74" s="375"/>
    </row>
    <row r="75" spans="1:12">
      <c r="A75" s="418"/>
      <c r="B75" s="420"/>
      <c r="E75" s="486"/>
      <c r="G75" s="374"/>
      <c r="H75" s="375"/>
      <c r="I75" s="375"/>
      <c r="J75" s="375"/>
      <c r="K75" s="375"/>
      <c r="L75" s="375"/>
    </row>
    <row r="76" spans="1:12">
      <c r="A76" s="394"/>
      <c r="B76" s="559" t="s">
        <v>1213</v>
      </c>
      <c r="C76" s="562"/>
      <c r="D76" s="563"/>
      <c r="E76" s="559"/>
      <c r="F76" s="516">
        <f>+F74+F46</f>
        <v>0</v>
      </c>
      <c r="G76" s="374"/>
      <c r="H76" s="375"/>
      <c r="I76" s="375"/>
      <c r="J76" s="375"/>
      <c r="K76" s="375"/>
      <c r="L76" s="375"/>
    </row>
    <row r="77" spans="1:12">
      <c r="A77" s="394"/>
      <c r="B77" s="559" t="s">
        <v>1195</v>
      </c>
      <c r="C77" s="562"/>
      <c r="D77" s="563"/>
      <c r="E77" s="559"/>
      <c r="F77" s="516">
        <f>+F76*0.18</f>
        <v>0</v>
      </c>
      <c r="G77" s="374"/>
      <c r="H77" s="375"/>
      <c r="I77" s="375"/>
      <c r="J77" s="375"/>
      <c r="K77" s="375"/>
      <c r="L77" s="375"/>
    </row>
    <row r="78" spans="1:12">
      <c r="A78" s="394"/>
      <c r="B78" s="559" t="s">
        <v>1196</v>
      </c>
      <c r="C78" s="562"/>
      <c r="D78" s="563"/>
      <c r="E78" s="559"/>
      <c r="F78" s="516">
        <f>SUM(F76:F77)</f>
        <v>0</v>
      </c>
      <c r="G78" s="374"/>
      <c r="H78" s="375"/>
      <c r="I78" s="375"/>
      <c r="J78" s="375"/>
      <c r="K78" s="375"/>
      <c r="L78" s="375"/>
    </row>
    <row r="79" spans="1:12" ht="15"/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2"/>
  <sheetViews>
    <sheetView zoomScale="85" zoomScaleNormal="85" workbookViewId="0">
      <selection activeCell="E118" sqref="E118:E137"/>
    </sheetView>
  </sheetViews>
  <sheetFormatPr defaultColWidth="11" defaultRowHeight="14.45"/>
  <cols>
    <col min="1" max="1" width="16.5703125" style="435" bestFit="1" customWidth="1"/>
    <col min="2" max="2" width="63.28515625" style="435" customWidth="1"/>
    <col min="3" max="3" width="12.42578125" style="470" customWidth="1"/>
    <col min="4" max="4" width="12.140625" style="534" customWidth="1"/>
    <col min="5" max="5" width="15.7109375" style="437" customWidth="1"/>
    <col min="6" max="6" width="22.42578125" style="437" bestFit="1" customWidth="1"/>
  </cols>
  <sheetData>
    <row r="1" spans="1:11" ht="15" thickBot="1"/>
    <row r="2" spans="1:11" ht="39" customHeight="1" thickBot="1">
      <c r="A2" s="587" t="s">
        <v>1277</v>
      </c>
      <c r="B2" s="588"/>
      <c r="C2" s="588"/>
      <c r="D2" s="588"/>
      <c r="E2" s="588"/>
      <c r="F2" s="589"/>
      <c r="G2" s="374"/>
      <c r="H2" s="375"/>
      <c r="I2" s="375"/>
      <c r="J2" s="375"/>
      <c r="K2" s="375"/>
    </row>
    <row r="3" spans="1:11">
      <c r="A3" s="504"/>
      <c r="B3" s="504"/>
      <c r="C3" s="504"/>
      <c r="D3" s="504"/>
      <c r="E3" s="564"/>
      <c r="F3" s="564"/>
      <c r="G3" s="374"/>
      <c r="H3" s="375"/>
      <c r="I3" s="375"/>
      <c r="J3" s="375"/>
      <c r="K3" s="375"/>
    </row>
    <row r="4" spans="1:11">
      <c r="A4" s="498" t="s">
        <v>1260</v>
      </c>
      <c r="B4" s="498"/>
      <c r="C4" s="499"/>
      <c r="D4" s="500"/>
      <c r="E4" s="501"/>
      <c r="F4" s="501"/>
      <c r="G4" s="374"/>
      <c r="H4" s="375"/>
      <c r="I4" s="375"/>
      <c r="J4" s="375"/>
      <c r="K4" s="375"/>
    </row>
    <row r="5" spans="1:11">
      <c r="A5" s="390"/>
      <c r="B5" s="420"/>
      <c r="E5" s="486"/>
      <c r="F5" s="486"/>
      <c r="G5" s="374"/>
      <c r="H5" s="375"/>
      <c r="I5" s="375"/>
      <c r="J5" s="375"/>
      <c r="K5" s="375"/>
    </row>
    <row r="6" spans="1:11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1097</v>
      </c>
      <c r="F6" s="441" t="s">
        <v>1199</v>
      </c>
      <c r="G6" s="374"/>
      <c r="H6" s="375"/>
      <c r="I6" s="375"/>
      <c r="J6" s="375"/>
      <c r="K6" s="375"/>
    </row>
    <row r="7" spans="1:11">
      <c r="A7" s="442" t="s">
        <v>715</v>
      </c>
      <c r="B7" s="443" t="s">
        <v>716</v>
      </c>
      <c r="C7" s="442"/>
      <c r="D7" s="472"/>
      <c r="E7" s="445"/>
      <c r="F7" s="445"/>
      <c r="H7" s="375"/>
      <c r="I7" s="375"/>
      <c r="J7" s="375"/>
      <c r="K7" s="375"/>
    </row>
    <row r="8" spans="1:11">
      <c r="A8" s="398" t="s">
        <v>717</v>
      </c>
      <c r="B8" s="399" t="s">
        <v>720</v>
      </c>
      <c r="C8" s="398" t="s">
        <v>123</v>
      </c>
      <c r="D8" s="543">
        <v>1</v>
      </c>
      <c r="E8" s="446"/>
      <c r="F8" s="446">
        <f>+E8*D8</f>
        <v>0</v>
      </c>
      <c r="H8" s="375"/>
      <c r="I8" s="375"/>
      <c r="J8" s="375"/>
      <c r="K8" s="375"/>
    </row>
    <row r="9" spans="1:11">
      <c r="A9" s="442" t="s">
        <v>968</v>
      </c>
      <c r="B9" s="443" t="s">
        <v>827</v>
      </c>
      <c r="C9" s="442"/>
      <c r="D9" s="472"/>
      <c r="E9" s="445"/>
      <c r="F9" s="445"/>
      <c r="G9" s="374"/>
      <c r="H9" s="375"/>
      <c r="I9" s="375"/>
      <c r="J9" s="375"/>
      <c r="K9" s="375"/>
    </row>
    <row r="10" spans="1:11">
      <c r="A10" s="415" t="s">
        <v>971</v>
      </c>
      <c r="B10" s="401" t="s">
        <v>819</v>
      </c>
      <c r="C10" s="403" t="s">
        <v>67</v>
      </c>
      <c r="D10" s="544">
        <v>132</v>
      </c>
      <c r="E10" s="446"/>
      <c r="F10" s="446">
        <f t="shared" ref="F10:F43" si="0">+E10*D10</f>
        <v>0</v>
      </c>
      <c r="G10" s="374"/>
      <c r="H10" s="375"/>
      <c r="I10" s="375"/>
      <c r="J10" s="375"/>
      <c r="K10" s="375"/>
    </row>
    <row r="11" spans="1:11">
      <c r="A11" s="442" t="s">
        <v>974</v>
      </c>
      <c r="B11" s="443" t="s">
        <v>812</v>
      </c>
      <c r="C11" s="442"/>
      <c r="D11" s="472"/>
      <c r="E11" s="445"/>
      <c r="F11" s="445"/>
      <c r="G11" s="374"/>
      <c r="H11" s="375"/>
      <c r="I11" s="375"/>
      <c r="J11" s="375"/>
      <c r="K11" s="375"/>
    </row>
    <row r="12" spans="1:11">
      <c r="A12" s="403" t="s">
        <v>975</v>
      </c>
      <c r="B12" s="401" t="s">
        <v>458</v>
      </c>
      <c r="C12" s="403" t="s">
        <v>67</v>
      </c>
      <c r="D12" s="467">
        <v>30</v>
      </c>
      <c r="E12" s="446"/>
      <c r="F12" s="446">
        <f t="shared" si="0"/>
        <v>0</v>
      </c>
      <c r="G12" s="374"/>
      <c r="H12" s="375"/>
      <c r="I12" s="375"/>
      <c r="J12" s="375"/>
      <c r="K12" s="375"/>
    </row>
    <row r="13" spans="1:11">
      <c r="A13" s="403" t="s">
        <v>976</v>
      </c>
      <c r="B13" s="401" t="s">
        <v>460</v>
      </c>
      <c r="C13" s="403" t="s">
        <v>67</v>
      </c>
      <c r="D13" s="467">
        <v>24</v>
      </c>
      <c r="E13" s="446"/>
      <c r="F13" s="446">
        <f t="shared" si="0"/>
        <v>0</v>
      </c>
      <c r="G13" s="374"/>
      <c r="H13" s="375"/>
      <c r="I13" s="375"/>
      <c r="J13" s="375"/>
      <c r="K13" s="375"/>
    </row>
    <row r="14" spans="1:11">
      <c r="A14" s="442" t="s">
        <v>1278</v>
      </c>
      <c r="B14" s="443" t="s">
        <v>16</v>
      </c>
      <c r="C14" s="442"/>
      <c r="D14" s="472"/>
      <c r="E14" s="445"/>
      <c r="F14" s="445"/>
      <c r="G14" s="374"/>
      <c r="H14" s="375"/>
      <c r="I14" s="375"/>
      <c r="J14" s="375"/>
      <c r="K14" s="375"/>
    </row>
    <row r="15" spans="1:11">
      <c r="A15" s="442" t="s">
        <v>1279</v>
      </c>
      <c r="B15" s="443" t="s">
        <v>575</v>
      </c>
      <c r="C15" s="442"/>
      <c r="D15" s="472"/>
      <c r="E15" s="445"/>
      <c r="F15" s="445"/>
      <c r="G15" s="374"/>
      <c r="H15" s="375"/>
      <c r="I15" s="375"/>
      <c r="J15" s="375"/>
      <c r="K15" s="375"/>
    </row>
    <row r="16" spans="1:11">
      <c r="A16" s="415" t="s">
        <v>586</v>
      </c>
      <c r="B16" s="401" t="s">
        <v>584</v>
      </c>
      <c r="C16" s="403" t="s">
        <v>326</v>
      </c>
      <c r="D16" s="467">
        <v>1</v>
      </c>
      <c r="E16" s="446"/>
      <c r="F16" s="446">
        <f t="shared" si="0"/>
        <v>0</v>
      </c>
      <c r="G16" s="374"/>
      <c r="H16" s="375"/>
      <c r="I16" s="375"/>
      <c r="J16" s="375"/>
      <c r="K16" s="375"/>
    </row>
    <row r="17" spans="1:11">
      <c r="A17" s="415" t="s">
        <v>579</v>
      </c>
      <c r="B17" s="401" t="s">
        <v>578</v>
      </c>
      <c r="C17" s="403" t="s">
        <v>326</v>
      </c>
      <c r="D17" s="467">
        <v>4</v>
      </c>
      <c r="E17" s="446"/>
      <c r="F17" s="446">
        <f t="shared" si="0"/>
        <v>0</v>
      </c>
      <c r="G17" s="374"/>
      <c r="H17" s="375"/>
      <c r="I17" s="375"/>
      <c r="J17" s="375"/>
      <c r="K17" s="375"/>
    </row>
    <row r="18" spans="1:11">
      <c r="A18" s="442" t="s">
        <v>1137</v>
      </c>
      <c r="B18" s="443" t="s">
        <v>599</v>
      </c>
      <c r="C18" s="442"/>
      <c r="D18" s="472"/>
      <c r="E18" s="445"/>
      <c r="F18" s="445"/>
      <c r="G18" s="374"/>
      <c r="H18" s="375"/>
      <c r="I18" s="375"/>
      <c r="J18" s="375"/>
      <c r="K18" s="375"/>
    </row>
    <row r="19" spans="1:11">
      <c r="A19" s="415" t="s">
        <v>981</v>
      </c>
      <c r="B19" s="401" t="s">
        <v>605</v>
      </c>
      <c r="C19" s="403" t="s">
        <v>326</v>
      </c>
      <c r="D19" s="467">
        <v>6</v>
      </c>
      <c r="E19" s="446"/>
      <c r="F19" s="446">
        <f t="shared" si="0"/>
        <v>0</v>
      </c>
      <c r="G19" s="374"/>
      <c r="H19" s="375"/>
      <c r="I19" s="375"/>
      <c r="J19" s="375"/>
      <c r="K19" s="375"/>
    </row>
    <row r="20" spans="1:11">
      <c r="A20" s="415" t="s">
        <v>982</v>
      </c>
      <c r="B20" s="401" t="s">
        <v>602</v>
      </c>
      <c r="C20" s="403" t="s">
        <v>326</v>
      </c>
      <c r="D20" s="467">
        <v>12</v>
      </c>
      <c r="E20" s="446"/>
      <c r="F20" s="446">
        <f t="shared" si="0"/>
        <v>0</v>
      </c>
      <c r="G20" s="374"/>
      <c r="H20" s="375"/>
      <c r="I20" s="375"/>
      <c r="J20" s="375"/>
      <c r="K20" s="375"/>
    </row>
    <row r="21" spans="1:11">
      <c r="A21" s="442" t="s">
        <v>1138</v>
      </c>
      <c r="B21" s="443" t="s">
        <v>592</v>
      </c>
      <c r="C21" s="442"/>
      <c r="D21" s="472"/>
      <c r="E21" s="445"/>
      <c r="F21" s="445"/>
      <c r="G21" s="374"/>
      <c r="H21" s="375"/>
      <c r="I21" s="375"/>
      <c r="J21" s="375"/>
      <c r="K21" s="375"/>
    </row>
    <row r="22" spans="1:11">
      <c r="A22" s="415" t="s">
        <v>1139</v>
      </c>
      <c r="B22" s="401" t="s">
        <v>595</v>
      </c>
      <c r="C22" s="403" t="s">
        <v>326</v>
      </c>
      <c r="D22" s="467">
        <v>2</v>
      </c>
      <c r="E22" s="446"/>
      <c r="F22" s="446">
        <f t="shared" si="0"/>
        <v>0</v>
      </c>
      <c r="G22" s="374"/>
      <c r="H22" s="375"/>
      <c r="I22" s="375"/>
      <c r="J22" s="375"/>
      <c r="K22" s="375"/>
    </row>
    <row r="23" spans="1:11">
      <c r="A23" s="442" t="s">
        <v>1140</v>
      </c>
      <c r="B23" s="443" t="s">
        <v>497</v>
      </c>
      <c r="C23" s="442"/>
      <c r="D23" s="472"/>
      <c r="E23" s="445"/>
      <c r="F23" s="445"/>
      <c r="G23" s="374"/>
      <c r="H23" s="375"/>
      <c r="I23" s="375"/>
      <c r="J23" s="375"/>
      <c r="K23" s="375"/>
    </row>
    <row r="24" spans="1:11">
      <c r="A24" s="442" t="s">
        <v>507</v>
      </c>
      <c r="B24" s="443" t="s">
        <v>508</v>
      </c>
      <c r="C24" s="442"/>
      <c r="D24" s="472"/>
      <c r="E24" s="445"/>
      <c r="F24" s="445"/>
      <c r="G24" s="374"/>
      <c r="H24" s="375"/>
      <c r="I24" s="375"/>
      <c r="J24" s="375"/>
      <c r="K24" s="375"/>
    </row>
    <row r="25" spans="1:11">
      <c r="A25" s="415" t="s">
        <v>510</v>
      </c>
      <c r="B25" s="401" t="s">
        <v>511</v>
      </c>
      <c r="C25" s="403" t="s">
        <v>326</v>
      </c>
      <c r="D25" s="467">
        <v>12</v>
      </c>
      <c r="E25" s="446"/>
      <c r="F25" s="446">
        <f t="shared" si="0"/>
        <v>0</v>
      </c>
      <c r="G25" s="374"/>
      <c r="H25" s="375"/>
      <c r="I25" s="375"/>
      <c r="J25" s="375"/>
      <c r="K25" s="375"/>
    </row>
    <row r="26" spans="1:11">
      <c r="A26" s="442" t="s">
        <v>983</v>
      </c>
      <c r="B26" s="443" t="s">
        <v>536</v>
      </c>
      <c r="C26" s="442"/>
      <c r="D26" s="472"/>
      <c r="E26" s="445"/>
      <c r="F26" s="445"/>
      <c r="G26" s="374"/>
      <c r="H26" s="375"/>
      <c r="I26" s="375"/>
      <c r="J26" s="375"/>
      <c r="K26" s="375"/>
    </row>
    <row r="27" spans="1:11">
      <c r="A27" s="415" t="s">
        <v>537</v>
      </c>
      <c r="B27" s="401" t="s">
        <v>538</v>
      </c>
      <c r="C27" s="403" t="s">
        <v>326</v>
      </c>
      <c r="D27" s="467">
        <v>2</v>
      </c>
      <c r="E27" s="446"/>
      <c r="F27" s="446">
        <f t="shared" si="0"/>
        <v>0</v>
      </c>
      <c r="G27" s="374"/>
      <c r="H27" s="375"/>
      <c r="I27" s="375"/>
      <c r="J27" s="375"/>
      <c r="K27" s="375"/>
    </row>
    <row r="28" spans="1:11">
      <c r="A28" s="442" t="s">
        <v>1037</v>
      </c>
      <c r="B28" s="443" t="s">
        <v>1130</v>
      </c>
      <c r="C28" s="442"/>
      <c r="D28" s="472"/>
      <c r="E28" s="445"/>
      <c r="F28" s="445"/>
      <c r="G28" s="374"/>
      <c r="H28" s="375"/>
      <c r="I28" s="375"/>
      <c r="J28" s="375"/>
      <c r="K28" s="375"/>
    </row>
    <row r="29" spans="1:11">
      <c r="A29" s="415" t="s">
        <v>1048</v>
      </c>
      <c r="B29" s="401" t="s">
        <v>503</v>
      </c>
      <c r="C29" s="403" t="s">
        <v>326</v>
      </c>
      <c r="D29" s="467">
        <v>2</v>
      </c>
      <c r="E29" s="446"/>
      <c r="F29" s="446">
        <f t="shared" si="0"/>
        <v>0</v>
      </c>
      <c r="G29" s="374"/>
      <c r="H29" s="375"/>
      <c r="I29" s="375"/>
      <c r="J29" s="375"/>
      <c r="K29" s="375"/>
    </row>
    <row r="30" spans="1:11">
      <c r="A30" s="442" t="s">
        <v>1140</v>
      </c>
      <c r="B30" s="443" t="s">
        <v>560</v>
      </c>
      <c r="C30" s="442"/>
      <c r="D30" s="472"/>
      <c r="E30" s="445"/>
      <c r="F30" s="445"/>
      <c r="G30" s="374"/>
      <c r="H30" s="375"/>
      <c r="I30" s="375"/>
      <c r="J30" s="375"/>
      <c r="K30" s="375"/>
    </row>
    <row r="31" spans="1:11">
      <c r="A31" s="415" t="s">
        <v>984</v>
      </c>
      <c r="B31" s="401" t="s">
        <v>563</v>
      </c>
      <c r="C31" s="403" t="s">
        <v>326</v>
      </c>
      <c r="D31" s="467">
        <v>4</v>
      </c>
      <c r="E31" s="446"/>
      <c r="F31" s="446">
        <f t="shared" si="0"/>
        <v>0</v>
      </c>
      <c r="G31" s="374"/>
      <c r="H31" s="375"/>
      <c r="I31" s="375"/>
      <c r="J31" s="375"/>
      <c r="K31" s="375"/>
    </row>
    <row r="32" spans="1:11">
      <c r="A32" s="442" t="s">
        <v>985</v>
      </c>
      <c r="B32" s="443" t="s">
        <v>521</v>
      </c>
      <c r="C32" s="442" t="s">
        <v>28</v>
      </c>
      <c r="D32" s="472"/>
      <c r="E32" s="445"/>
      <c r="F32" s="445"/>
      <c r="G32" s="374"/>
      <c r="H32" s="375"/>
      <c r="I32" s="375"/>
      <c r="J32" s="375"/>
      <c r="K32" s="375"/>
    </row>
    <row r="33" spans="1:11">
      <c r="A33" s="415" t="s">
        <v>986</v>
      </c>
      <c r="B33" s="401" t="s">
        <v>523</v>
      </c>
      <c r="C33" s="403" t="s">
        <v>326</v>
      </c>
      <c r="D33" s="467">
        <v>4</v>
      </c>
      <c r="E33" s="446"/>
      <c r="F33" s="446">
        <f t="shared" si="0"/>
        <v>0</v>
      </c>
      <c r="G33" s="374"/>
      <c r="H33" s="375"/>
      <c r="I33" s="375"/>
      <c r="J33" s="375"/>
      <c r="K33" s="375"/>
    </row>
    <row r="34" spans="1:11">
      <c r="A34" s="442" t="s">
        <v>987</v>
      </c>
      <c r="B34" s="443" t="s">
        <v>565</v>
      </c>
      <c r="C34" s="442"/>
      <c r="D34" s="472"/>
      <c r="E34" s="445"/>
      <c r="F34" s="445"/>
      <c r="G34" s="374"/>
      <c r="H34" s="375"/>
      <c r="I34" s="375"/>
      <c r="J34" s="375"/>
      <c r="K34" s="375"/>
    </row>
    <row r="35" spans="1:11">
      <c r="A35" s="415" t="s">
        <v>567</v>
      </c>
      <c r="B35" s="401" t="s">
        <v>568</v>
      </c>
      <c r="C35" s="403" t="s">
        <v>326</v>
      </c>
      <c r="D35" s="467">
        <v>2</v>
      </c>
      <c r="E35" s="446"/>
      <c r="F35" s="446">
        <f t="shared" si="0"/>
        <v>0</v>
      </c>
      <c r="G35" s="374"/>
      <c r="H35" s="375"/>
      <c r="I35" s="375"/>
      <c r="J35" s="375"/>
      <c r="K35" s="375"/>
    </row>
    <row r="36" spans="1:11">
      <c r="A36" s="442" t="s">
        <v>988</v>
      </c>
      <c r="B36" s="443" t="s">
        <v>549</v>
      </c>
      <c r="C36" s="442"/>
      <c r="D36" s="472"/>
      <c r="E36" s="445"/>
      <c r="F36" s="445"/>
      <c r="G36" s="374"/>
      <c r="H36" s="375"/>
      <c r="I36" s="375"/>
      <c r="J36" s="375"/>
      <c r="K36" s="375"/>
    </row>
    <row r="37" spans="1:11">
      <c r="A37" s="415" t="s">
        <v>989</v>
      </c>
      <c r="B37" s="401" t="s">
        <v>556</v>
      </c>
      <c r="C37" s="403" t="s">
        <v>326</v>
      </c>
      <c r="D37" s="467">
        <v>1</v>
      </c>
      <c r="E37" s="446"/>
      <c r="F37" s="446">
        <f t="shared" si="0"/>
        <v>0</v>
      </c>
      <c r="G37" s="374"/>
      <c r="H37" s="375"/>
      <c r="I37" s="375"/>
      <c r="J37" s="375"/>
      <c r="K37" s="375"/>
    </row>
    <row r="38" spans="1:11">
      <c r="A38" s="442" t="s">
        <v>1141</v>
      </c>
      <c r="B38" s="443" t="s">
        <v>543</v>
      </c>
      <c r="C38" s="442"/>
      <c r="D38" s="472"/>
      <c r="E38" s="445"/>
      <c r="F38" s="445"/>
      <c r="G38" s="374"/>
      <c r="H38" s="375"/>
      <c r="I38" s="375"/>
      <c r="J38" s="375"/>
      <c r="K38" s="375"/>
    </row>
    <row r="39" spans="1:11">
      <c r="A39" s="415" t="s">
        <v>1142</v>
      </c>
      <c r="B39" s="401" t="s">
        <v>546</v>
      </c>
      <c r="C39" s="403" t="s">
        <v>326</v>
      </c>
      <c r="D39" s="467">
        <v>1</v>
      </c>
      <c r="E39" s="446"/>
      <c r="F39" s="446">
        <f t="shared" si="0"/>
        <v>0</v>
      </c>
      <c r="G39" s="374"/>
      <c r="H39" s="375"/>
      <c r="I39" s="375"/>
      <c r="J39" s="375"/>
      <c r="K39" s="375"/>
    </row>
    <row r="40" spans="1:11">
      <c r="A40" s="442" t="s">
        <v>993</v>
      </c>
      <c r="B40" s="443" t="s">
        <v>513</v>
      </c>
      <c r="C40" s="442"/>
      <c r="D40" s="472"/>
      <c r="E40" s="445"/>
      <c r="F40" s="445"/>
      <c r="G40" s="374"/>
      <c r="H40" s="375"/>
      <c r="I40" s="375"/>
      <c r="J40" s="375"/>
      <c r="K40" s="375"/>
    </row>
    <row r="41" spans="1:11">
      <c r="A41" s="415" t="s">
        <v>994</v>
      </c>
      <c r="B41" s="401" t="s">
        <v>516</v>
      </c>
      <c r="C41" s="403" t="s">
        <v>326</v>
      </c>
      <c r="D41" s="467">
        <v>1</v>
      </c>
      <c r="E41" s="446"/>
      <c r="F41" s="446">
        <f t="shared" si="0"/>
        <v>0</v>
      </c>
      <c r="G41" s="374"/>
      <c r="H41" s="375"/>
      <c r="I41" s="375"/>
      <c r="J41" s="375"/>
      <c r="K41" s="375"/>
    </row>
    <row r="42" spans="1:11">
      <c r="A42" s="442" t="s">
        <v>995</v>
      </c>
      <c r="B42" s="443" t="s">
        <v>531</v>
      </c>
      <c r="C42" s="442"/>
      <c r="D42" s="472"/>
      <c r="E42" s="445"/>
      <c r="F42" s="445"/>
      <c r="G42" s="374"/>
      <c r="H42" s="375"/>
      <c r="I42" s="375"/>
      <c r="J42" s="375"/>
      <c r="K42" s="375"/>
    </row>
    <row r="43" spans="1:11">
      <c r="A43" s="415" t="s">
        <v>533</v>
      </c>
      <c r="B43" s="401" t="s">
        <v>1184</v>
      </c>
      <c r="C43" s="403" t="s">
        <v>326</v>
      </c>
      <c r="D43" s="467">
        <v>5</v>
      </c>
      <c r="E43" s="446"/>
      <c r="F43" s="446">
        <f t="shared" si="0"/>
        <v>0</v>
      </c>
      <c r="G43" s="374"/>
      <c r="H43" s="375"/>
      <c r="I43" s="375"/>
      <c r="J43" s="375"/>
      <c r="K43" s="375"/>
    </row>
    <row r="44" spans="1:11">
      <c r="A44" s="558"/>
      <c r="B44" s="512" t="s">
        <v>1143</v>
      </c>
      <c r="C44" s="513"/>
      <c r="D44" s="514"/>
      <c r="E44" s="515"/>
      <c r="F44" s="516">
        <f>SUM(F8:F43)</f>
        <v>0</v>
      </c>
      <c r="G44" s="374"/>
      <c r="H44" s="375"/>
      <c r="I44" s="375"/>
      <c r="J44" s="375"/>
      <c r="K44" s="375"/>
    </row>
    <row r="45" spans="1:11">
      <c r="A45" s="419"/>
      <c r="B45" s="419"/>
      <c r="C45" s="551"/>
      <c r="D45" s="548"/>
      <c r="E45" s="486"/>
      <c r="F45" s="486"/>
      <c r="G45" s="374"/>
      <c r="H45" s="375"/>
      <c r="I45" s="375"/>
      <c r="J45" s="375"/>
      <c r="K45" s="375"/>
    </row>
    <row r="46" spans="1:11">
      <c r="A46" s="498" t="s">
        <v>1280</v>
      </c>
      <c r="B46" s="498"/>
      <c r="C46" s="499"/>
      <c r="D46" s="500"/>
      <c r="E46" s="501"/>
      <c r="F46" s="501"/>
      <c r="G46" s="374"/>
      <c r="H46" s="375"/>
      <c r="I46" s="375"/>
      <c r="J46" s="375"/>
      <c r="K46" s="375"/>
    </row>
    <row r="47" spans="1:11">
      <c r="A47" s="420"/>
      <c r="B47" s="420"/>
      <c r="E47" s="486"/>
      <c r="F47" s="486"/>
      <c r="G47" s="374"/>
      <c r="H47" s="375"/>
      <c r="I47" s="375"/>
      <c r="J47" s="375"/>
      <c r="K47" s="375"/>
    </row>
    <row r="48" spans="1:11">
      <c r="A48" s="438" t="s">
        <v>0</v>
      </c>
      <c r="B48" s="439" t="s">
        <v>967</v>
      </c>
      <c r="C48" s="438" t="s">
        <v>3</v>
      </c>
      <c r="D48" s="441" t="s">
        <v>839</v>
      </c>
      <c r="E48" s="441" t="s">
        <v>1097</v>
      </c>
      <c r="F48" s="441" t="s">
        <v>1199</v>
      </c>
      <c r="G48" s="374"/>
      <c r="H48" s="375"/>
      <c r="I48" s="375"/>
      <c r="J48" s="375"/>
      <c r="K48" s="375"/>
    </row>
    <row r="49" spans="1:11">
      <c r="A49" s="442" t="s">
        <v>692</v>
      </c>
      <c r="B49" s="443" t="s">
        <v>697</v>
      </c>
      <c r="C49" s="442"/>
      <c r="D49" s="472"/>
      <c r="E49" s="445"/>
      <c r="F49" s="445"/>
      <c r="G49" s="374"/>
      <c r="H49" s="375"/>
      <c r="I49" s="375"/>
      <c r="J49" s="375"/>
      <c r="K49" s="375"/>
    </row>
    <row r="50" spans="1:11" ht="27" customHeight="1">
      <c r="A50" s="415" t="s">
        <v>998</v>
      </c>
      <c r="B50" s="401" t="s">
        <v>999</v>
      </c>
      <c r="C50" s="403" t="s">
        <v>67</v>
      </c>
      <c r="D50" s="525">
        <v>132</v>
      </c>
      <c r="E50" s="446"/>
      <c r="F50" s="446">
        <f>+E50*D50</f>
        <v>0</v>
      </c>
      <c r="G50" s="374"/>
      <c r="H50" s="375"/>
      <c r="I50" s="375"/>
      <c r="J50" s="375"/>
      <c r="K50" s="375"/>
    </row>
    <row r="51" spans="1:11">
      <c r="A51" s="442" t="s">
        <v>1000</v>
      </c>
      <c r="B51" s="443" t="s">
        <v>463</v>
      </c>
      <c r="C51" s="442"/>
      <c r="D51" s="472"/>
      <c r="E51" s="445"/>
      <c r="F51" s="445"/>
      <c r="G51" s="374"/>
      <c r="H51" s="375"/>
      <c r="I51" s="375"/>
      <c r="J51" s="375"/>
      <c r="K51" s="375"/>
    </row>
    <row r="52" spans="1:11">
      <c r="A52" s="442" t="s">
        <v>1001</v>
      </c>
      <c r="B52" s="443" t="s">
        <v>1002</v>
      </c>
      <c r="C52" s="442"/>
      <c r="D52" s="472"/>
      <c r="E52" s="445"/>
      <c r="F52" s="445"/>
      <c r="G52" s="374"/>
      <c r="H52" s="375"/>
      <c r="I52" s="375"/>
      <c r="J52" s="375"/>
      <c r="K52" s="375"/>
    </row>
    <row r="53" spans="1:11">
      <c r="A53" s="527" t="s">
        <v>1005</v>
      </c>
      <c r="B53" s="401" t="s">
        <v>819</v>
      </c>
      <c r="C53" s="403" t="s">
        <v>67</v>
      </c>
      <c r="D53" s="544">
        <v>132</v>
      </c>
      <c r="E53" s="446"/>
      <c r="F53" s="446">
        <f t="shared" ref="F53:F68" si="1">+E53*D53</f>
        <v>0</v>
      </c>
      <c r="G53" s="374"/>
      <c r="H53" s="375"/>
      <c r="I53" s="375"/>
      <c r="J53" s="375"/>
      <c r="K53" s="375"/>
    </row>
    <row r="54" spans="1:11">
      <c r="A54" s="442" t="s">
        <v>1007</v>
      </c>
      <c r="B54" s="443" t="s">
        <v>456</v>
      </c>
      <c r="C54" s="442"/>
      <c r="D54" s="472"/>
      <c r="E54" s="445"/>
      <c r="F54" s="445"/>
      <c r="G54" s="374"/>
      <c r="H54" s="375"/>
      <c r="I54" s="375"/>
      <c r="J54" s="375"/>
      <c r="K54" s="375"/>
    </row>
    <row r="55" spans="1:11">
      <c r="A55" s="403" t="s">
        <v>1008</v>
      </c>
      <c r="B55" s="401" t="s">
        <v>458</v>
      </c>
      <c r="C55" s="403" t="s">
        <v>67</v>
      </c>
      <c r="D55" s="467">
        <v>30</v>
      </c>
      <c r="E55" s="446"/>
      <c r="F55" s="446">
        <f t="shared" si="1"/>
        <v>0</v>
      </c>
      <c r="G55" s="374"/>
      <c r="H55" s="375"/>
      <c r="I55" s="375"/>
      <c r="J55" s="375"/>
      <c r="K55" s="375"/>
    </row>
    <row r="56" spans="1:11">
      <c r="A56" s="403" t="s">
        <v>1009</v>
      </c>
      <c r="B56" s="401" t="s">
        <v>460</v>
      </c>
      <c r="C56" s="403" t="s">
        <v>67</v>
      </c>
      <c r="D56" s="467">
        <v>24</v>
      </c>
      <c r="E56" s="446"/>
      <c r="F56" s="446">
        <f t="shared" si="1"/>
        <v>0</v>
      </c>
      <c r="G56" s="374"/>
      <c r="H56" s="375"/>
      <c r="I56" s="375"/>
      <c r="J56" s="375"/>
      <c r="K56" s="375"/>
    </row>
    <row r="57" spans="1:11">
      <c r="A57" s="442" t="s">
        <v>482</v>
      </c>
      <c r="B57" s="443" t="s">
        <v>483</v>
      </c>
      <c r="C57" s="442"/>
      <c r="D57" s="472"/>
      <c r="E57" s="445"/>
      <c r="F57" s="445"/>
      <c r="G57" s="374"/>
      <c r="H57" s="375"/>
      <c r="I57" s="375"/>
      <c r="J57" s="375"/>
      <c r="K57" s="375"/>
    </row>
    <row r="58" spans="1:11">
      <c r="A58" s="403" t="s">
        <v>484</v>
      </c>
      <c r="B58" s="401" t="s">
        <v>488</v>
      </c>
      <c r="C58" s="403" t="s">
        <v>3</v>
      </c>
      <c r="D58" s="467">
        <v>1</v>
      </c>
      <c r="E58" s="446"/>
      <c r="F58" s="446">
        <f t="shared" si="1"/>
        <v>0</v>
      </c>
      <c r="G58" s="374"/>
      <c r="H58" s="375"/>
      <c r="I58" s="375"/>
      <c r="J58" s="375"/>
      <c r="K58" s="375"/>
    </row>
    <row r="59" spans="1:11">
      <c r="A59" s="403" t="s">
        <v>487</v>
      </c>
      <c r="B59" s="401" t="s">
        <v>485</v>
      </c>
      <c r="C59" s="403" t="s">
        <v>3</v>
      </c>
      <c r="D59" s="467">
        <v>1</v>
      </c>
      <c r="E59" s="446"/>
      <c r="F59" s="446">
        <f t="shared" si="1"/>
        <v>0</v>
      </c>
      <c r="G59" s="374"/>
      <c r="H59" s="375"/>
      <c r="I59" s="375"/>
      <c r="J59" s="375"/>
      <c r="K59" s="375"/>
    </row>
    <row r="60" spans="1:11">
      <c r="A60" s="403" t="s">
        <v>490</v>
      </c>
      <c r="B60" s="401" t="s">
        <v>491</v>
      </c>
      <c r="C60" s="403" t="s">
        <v>3</v>
      </c>
      <c r="D60" s="467">
        <v>2</v>
      </c>
      <c r="E60" s="446"/>
      <c r="F60" s="446">
        <f t="shared" si="1"/>
        <v>0</v>
      </c>
      <c r="G60" s="374"/>
      <c r="H60" s="375"/>
      <c r="I60" s="375"/>
      <c r="J60" s="375"/>
      <c r="K60" s="375"/>
    </row>
    <row r="61" spans="1:11">
      <c r="A61" s="403" t="s">
        <v>493</v>
      </c>
      <c r="B61" s="401" t="s">
        <v>494</v>
      </c>
      <c r="C61" s="403" t="s">
        <v>3</v>
      </c>
      <c r="D61" s="467">
        <v>1</v>
      </c>
      <c r="E61" s="446"/>
      <c r="F61" s="446">
        <f t="shared" si="1"/>
        <v>0</v>
      </c>
      <c r="G61" s="374"/>
      <c r="H61" s="375"/>
      <c r="I61" s="375"/>
      <c r="J61" s="375"/>
      <c r="K61" s="375"/>
    </row>
    <row r="62" spans="1:11">
      <c r="A62" s="442" t="s">
        <v>1010</v>
      </c>
      <c r="B62" s="443" t="s">
        <v>72</v>
      </c>
      <c r="C62" s="442"/>
      <c r="D62" s="472"/>
      <c r="E62" s="445"/>
      <c r="F62" s="445"/>
      <c r="G62" s="374"/>
      <c r="H62" s="375"/>
      <c r="I62" s="375"/>
      <c r="J62" s="375"/>
      <c r="K62" s="375"/>
    </row>
    <row r="63" spans="1:11">
      <c r="A63" s="442" t="s">
        <v>1011</v>
      </c>
      <c r="B63" s="443" t="s">
        <v>101</v>
      </c>
      <c r="C63" s="442"/>
      <c r="D63" s="472"/>
      <c r="E63" s="445"/>
      <c r="F63" s="445"/>
      <c r="G63" s="374"/>
      <c r="H63" s="375"/>
      <c r="I63" s="375"/>
      <c r="J63" s="375"/>
      <c r="K63" s="375"/>
    </row>
    <row r="64" spans="1:11">
      <c r="A64" s="415" t="s">
        <v>1015</v>
      </c>
      <c r="B64" s="401" t="s">
        <v>107</v>
      </c>
      <c r="C64" s="403" t="s">
        <v>3</v>
      </c>
      <c r="D64" s="467">
        <v>1</v>
      </c>
      <c r="E64" s="446"/>
      <c r="F64" s="446">
        <f t="shared" si="1"/>
        <v>0</v>
      </c>
      <c r="G64" s="374"/>
      <c r="H64" s="375"/>
      <c r="I64" s="375"/>
      <c r="J64" s="375"/>
      <c r="K64" s="375"/>
    </row>
    <row r="65" spans="1:11">
      <c r="A65" s="442" t="s">
        <v>1016</v>
      </c>
      <c r="B65" s="443" t="s">
        <v>75</v>
      </c>
      <c r="C65" s="442"/>
      <c r="D65" s="472"/>
      <c r="E65" s="445"/>
      <c r="F65" s="445"/>
      <c r="G65" s="374"/>
      <c r="H65" s="375"/>
      <c r="I65" s="375"/>
      <c r="J65" s="375"/>
      <c r="K65" s="375"/>
    </row>
    <row r="66" spans="1:11" ht="27.6">
      <c r="A66" s="398" t="s">
        <v>1018</v>
      </c>
      <c r="B66" s="408" t="s">
        <v>1281</v>
      </c>
      <c r="C66" s="403" t="s">
        <v>3</v>
      </c>
      <c r="D66" s="467">
        <v>2</v>
      </c>
      <c r="E66" s="446"/>
      <c r="F66" s="446">
        <f t="shared" si="1"/>
        <v>0</v>
      </c>
      <c r="G66" s="374"/>
      <c r="H66" s="375"/>
      <c r="I66" s="375"/>
      <c r="J66" s="375"/>
      <c r="K66" s="375"/>
    </row>
    <row r="67" spans="1:11">
      <c r="A67" s="442" t="s">
        <v>1282</v>
      </c>
      <c r="B67" s="443" t="s">
        <v>756</v>
      </c>
      <c r="C67" s="442"/>
      <c r="D67" s="472"/>
      <c r="E67" s="445"/>
      <c r="F67" s="445"/>
      <c r="G67" s="374"/>
      <c r="H67" s="375"/>
      <c r="I67" s="375"/>
      <c r="J67" s="375"/>
      <c r="K67" s="375"/>
    </row>
    <row r="68" spans="1:11">
      <c r="A68" s="403" t="s">
        <v>1283</v>
      </c>
      <c r="B68" s="401" t="s">
        <v>758</v>
      </c>
      <c r="C68" s="403" t="s">
        <v>759</v>
      </c>
      <c r="D68" s="467">
        <v>0.09</v>
      </c>
      <c r="E68" s="446"/>
      <c r="F68" s="446">
        <f t="shared" si="1"/>
        <v>0</v>
      </c>
      <c r="G68" s="374"/>
      <c r="H68" s="375"/>
      <c r="I68" s="375"/>
      <c r="J68" s="375"/>
      <c r="K68" s="375"/>
    </row>
    <row r="69" spans="1:11">
      <c r="A69" s="558"/>
      <c r="B69" s="512" t="s">
        <v>1187</v>
      </c>
      <c r="C69" s="513"/>
      <c r="D69" s="514"/>
      <c r="E69" s="515"/>
      <c r="F69" s="516">
        <f>SUM(F50:F68)</f>
        <v>0</v>
      </c>
      <c r="G69" s="374"/>
      <c r="H69" s="375"/>
      <c r="I69" s="375"/>
      <c r="J69" s="375"/>
      <c r="K69" s="375"/>
    </row>
    <row r="70" spans="1:11">
      <c r="A70" s="558"/>
      <c r="B70" s="512" t="s">
        <v>1150</v>
      </c>
      <c r="C70" s="513"/>
      <c r="D70" s="514"/>
      <c r="E70" s="515"/>
      <c r="F70" s="516">
        <f>+F69+F44</f>
        <v>0</v>
      </c>
      <c r="G70" s="374"/>
      <c r="H70" s="375"/>
      <c r="I70" s="375"/>
      <c r="J70" s="375"/>
      <c r="K70" s="375"/>
    </row>
    <row r="71" spans="1:11">
      <c r="A71" s="420"/>
      <c r="B71" s="420"/>
      <c r="E71" s="486"/>
      <c r="F71" s="486"/>
      <c r="G71" s="374"/>
      <c r="H71" s="375"/>
      <c r="I71" s="375"/>
      <c r="J71" s="375"/>
      <c r="K71" s="375"/>
    </row>
    <row r="72" spans="1:11">
      <c r="A72" s="498" t="s">
        <v>1284</v>
      </c>
      <c r="B72" s="498"/>
      <c r="C72" s="499"/>
      <c r="D72" s="500"/>
      <c r="E72" s="501"/>
      <c r="F72" s="501"/>
      <c r="G72" s="374"/>
      <c r="H72" s="375"/>
      <c r="I72" s="375"/>
      <c r="J72" s="375"/>
      <c r="K72" s="375"/>
    </row>
    <row r="73" spans="1:11">
      <c r="A73" s="420"/>
      <c r="B73" s="420"/>
      <c r="E73" s="486"/>
      <c r="F73" s="486"/>
      <c r="G73" s="374"/>
      <c r="H73" s="375"/>
      <c r="I73" s="375"/>
      <c r="J73" s="375"/>
      <c r="K73" s="375"/>
    </row>
    <row r="74" spans="1:11">
      <c r="A74" s="438" t="s">
        <v>0</v>
      </c>
      <c r="B74" s="439" t="s">
        <v>967</v>
      </c>
      <c r="C74" s="438" t="s">
        <v>3</v>
      </c>
      <c r="D74" s="441" t="s">
        <v>839</v>
      </c>
      <c r="E74" s="441" t="s">
        <v>1097</v>
      </c>
      <c r="F74" s="441" t="s">
        <v>1199</v>
      </c>
      <c r="G74" s="374"/>
      <c r="H74" s="375"/>
      <c r="I74" s="375"/>
      <c r="J74" s="375"/>
      <c r="K74" s="375"/>
    </row>
    <row r="75" spans="1:11">
      <c r="A75" s="442" t="s">
        <v>1034</v>
      </c>
      <c r="B75" s="443" t="s">
        <v>827</v>
      </c>
      <c r="C75" s="442"/>
      <c r="D75" s="472"/>
      <c r="E75" s="445"/>
      <c r="F75" s="445"/>
      <c r="G75" s="374"/>
      <c r="H75" s="375"/>
      <c r="I75" s="375"/>
      <c r="J75" s="375"/>
      <c r="K75" s="375"/>
    </row>
    <row r="76" spans="1:11">
      <c r="A76" s="415" t="s">
        <v>1035</v>
      </c>
      <c r="B76" s="401" t="s">
        <v>831</v>
      </c>
      <c r="C76" s="403" t="s">
        <v>67</v>
      </c>
      <c r="D76" s="544">
        <v>12</v>
      </c>
      <c r="E76" s="446"/>
      <c r="F76" s="446">
        <f>+E76*D76</f>
        <v>0</v>
      </c>
      <c r="G76" s="374"/>
      <c r="H76" s="375"/>
      <c r="I76" s="375"/>
      <c r="J76" s="375"/>
      <c r="K76" s="375"/>
    </row>
    <row r="77" spans="1:11">
      <c r="A77" s="415" t="s">
        <v>1036</v>
      </c>
      <c r="B77" s="401" t="s">
        <v>834</v>
      </c>
      <c r="C77" s="403" t="s">
        <v>67</v>
      </c>
      <c r="D77" s="544">
        <v>3</v>
      </c>
      <c r="E77" s="446"/>
      <c r="F77" s="446">
        <f t="shared" ref="F77:F94" si="2">+E77*D77</f>
        <v>0</v>
      </c>
      <c r="G77" s="374"/>
      <c r="H77" s="375"/>
      <c r="I77" s="375"/>
      <c r="J77" s="375"/>
      <c r="K77" s="375"/>
    </row>
    <row r="78" spans="1:11">
      <c r="A78" s="415" t="s">
        <v>837</v>
      </c>
      <c r="B78" s="401" t="s">
        <v>836</v>
      </c>
      <c r="C78" s="403" t="s">
        <v>67</v>
      </c>
      <c r="D78" s="544">
        <v>12</v>
      </c>
      <c r="E78" s="446"/>
      <c r="F78" s="446">
        <f t="shared" si="2"/>
        <v>0</v>
      </c>
      <c r="G78" s="374"/>
      <c r="H78" s="375"/>
      <c r="I78" s="375"/>
      <c r="J78" s="375"/>
      <c r="K78" s="375"/>
    </row>
    <row r="79" spans="1:11">
      <c r="A79" s="442" t="s">
        <v>899</v>
      </c>
      <c r="B79" s="443" t="s">
        <v>323</v>
      </c>
      <c r="C79" s="442"/>
      <c r="D79" s="472"/>
      <c r="E79" s="445"/>
      <c r="F79" s="445"/>
      <c r="G79" s="374"/>
      <c r="H79" s="375"/>
      <c r="I79" s="375"/>
      <c r="J79" s="375"/>
      <c r="K79" s="375"/>
    </row>
    <row r="80" spans="1:11">
      <c r="A80" s="398" t="s">
        <v>900</v>
      </c>
      <c r="B80" s="401" t="s">
        <v>1285</v>
      </c>
      <c r="C80" s="403" t="s">
        <v>326</v>
      </c>
      <c r="D80" s="467">
        <v>3</v>
      </c>
      <c r="E80" s="446"/>
      <c r="F80" s="446">
        <f t="shared" si="2"/>
        <v>0</v>
      </c>
      <c r="G80" s="374"/>
      <c r="H80" s="375"/>
      <c r="I80" s="375"/>
      <c r="J80" s="375"/>
      <c r="K80" s="375"/>
    </row>
    <row r="81" spans="1:11">
      <c r="A81" s="398" t="s">
        <v>902</v>
      </c>
      <c r="B81" s="401" t="s">
        <v>328</v>
      </c>
      <c r="C81" s="403" t="s">
        <v>326</v>
      </c>
      <c r="D81" s="467">
        <v>27</v>
      </c>
      <c r="E81" s="446"/>
      <c r="F81" s="446">
        <f t="shared" si="2"/>
        <v>0</v>
      </c>
      <c r="G81" s="374"/>
      <c r="H81" s="375"/>
      <c r="I81" s="375"/>
      <c r="J81" s="375"/>
      <c r="K81" s="375"/>
    </row>
    <row r="82" spans="1:11">
      <c r="A82" s="442" t="s">
        <v>1037</v>
      </c>
      <c r="B82" s="443" t="s">
        <v>14</v>
      </c>
      <c r="C82" s="442"/>
      <c r="D82" s="472"/>
      <c r="E82" s="445"/>
      <c r="F82" s="445"/>
      <c r="G82" s="374"/>
      <c r="H82" s="375"/>
      <c r="I82" s="375"/>
      <c r="J82" s="375"/>
      <c r="K82" s="375"/>
    </row>
    <row r="83" spans="1:11">
      <c r="A83" s="415" t="s">
        <v>1038</v>
      </c>
      <c r="B83" s="407" t="s">
        <v>587</v>
      </c>
      <c r="C83" s="403" t="s">
        <v>326</v>
      </c>
      <c r="D83" s="467">
        <v>2</v>
      </c>
      <c r="E83" s="446"/>
      <c r="F83" s="446">
        <f>+E83*D83</f>
        <v>0</v>
      </c>
      <c r="G83" s="374"/>
      <c r="H83" s="375"/>
      <c r="I83" s="375"/>
      <c r="J83" s="375"/>
      <c r="K83" s="375"/>
    </row>
    <row r="84" spans="1:11">
      <c r="A84" s="415" t="s">
        <v>1040</v>
      </c>
      <c r="B84" s="401" t="s">
        <v>526</v>
      </c>
      <c r="C84" s="403" t="s">
        <v>326</v>
      </c>
      <c r="D84" s="467">
        <v>1</v>
      </c>
      <c r="E84" s="446"/>
      <c r="F84" s="446">
        <f t="shared" si="2"/>
        <v>0</v>
      </c>
      <c r="G84" s="374"/>
      <c r="H84" s="375"/>
      <c r="I84" s="375"/>
      <c r="J84" s="375"/>
      <c r="K84" s="375"/>
    </row>
    <row r="85" spans="1:11">
      <c r="A85" s="415" t="s">
        <v>1041</v>
      </c>
      <c r="B85" s="401" t="s">
        <v>529</v>
      </c>
      <c r="C85" s="403" t="s">
        <v>326</v>
      </c>
      <c r="D85" s="467">
        <v>1</v>
      </c>
      <c r="E85" s="446"/>
      <c r="F85" s="446">
        <f t="shared" si="2"/>
        <v>0</v>
      </c>
      <c r="G85" s="374"/>
      <c r="H85" s="375"/>
      <c r="I85" s="375"/>
      <c r="J85" s="375"/>
      <c r="K85" s="375"/>
    </row>
    <row r="86" spans="1:11">
      <c r="A86" s="415" t="s">
        <v>1042</v>
      </c>
      <c r="B86" s="401" t="s">
        <v>608</v>
      </c>
      <c r="C86" s="403" t="s">
        <v>326</v>
      </c>
      <c r="D86" s="467">
        <v>4</v>
      </c>
      <c r="E86" s="446"/>
      <c r="F86" s="446">
        <f t="shared" si="2"/>
        <v>0</v>
      </c>
      <c r="G86" s="374"/>
      <c r="H86" s="375"/>
      <c r="I86" s="375"/>
      <c r="J86" s="375"/>
      <c r="K86" s="375"/>
    </row>
    <row r="87" spans="1:11">
      <c r="A87" s="415" t="s">
        <v>1043</v>
      </c>
      <c r="B87" s="401" t="s">
        <v>582</v>
      </c>
      <c r="C87" s="403" t="s">
        <v>326</v>
      </c>
      <c r="D87" s="467">
        <v>4</v>
      </c>
      <c r="E87" s="446"/>
      <c r="F87" s="446">
        <f t="shared" si="2"/>
        <v>0</v>
      </c>
      <c r="G87" s="374"/>
      <c r="H87" s="375"/>
      <c r="I87" s="375"/>
      <c r="J87" s="375"/>
      <c r="K87" s="375"/>
    </row>
    <row r="88" spans="1:11">
      <c r="A88" s="415" t="s">
        <v>1044</v>
      </c>
      <c r="B88" s="401" t="s">
        <v>595</v>
      </c>
      <c r="C88" s="403" t="s">
        <v>326</v>
      </c>
      <c r="D88" s="467">
        <v>2</v>
      </c>
      <c r="E88" s="446"/>
      <c r="F88" s="446">
        <f t="shared" si="2"/>
        <v>0</v>
      </c>
      <c r="G88" s="374"/>
      <c r="H88" s="375"/>
      <c r="I88" s="375"/>
      <c r="J88" s="375"/>
      <c r="K88" s="375"/>
    </row>
    <row r="89" spans="1:11">
      <c r="A89" s="415" t="s">
        <v>1045</v>
      </c>
      <c r="B89" s="401" t="s">
        <v>590</v>
      </c>
      <c r="C89" s="403" t="s">
        <v>326</v>
      </c>
      <c r="D89" s="467">
        <v>4</v>
      </c>
      <c r="E89" s="446"/>
      <c r="F89" s="446">
        <f t="shared" si="2"/>
        <v>0</v>
      </c>
      <c r="G89" s="374"/>
      <c r="H89" s="375"/>
      <c r="I89" s="375"/>
      <c r="J89" s="375"/>
      <c r="K89" s="375"/>
    </row>
    <row r="90" spans="1:11">
      <c r="A90" s="415" t="s">
        <v>1046</v>
      </c>
      <c r="B90" s="401" t="s">
        <v>506</v>
      </c>
      <c r="C90" s="403" t="s">
        <v>326</v>
      </c>
      <c r="D90" s="467">
        <v>1</v>
      </c>
      <c r="E90" s="446"/>
      <c r="F90" s="446">
        <f t="shared" si="2"/>
        <v>0</v>
      </c>
      <c r="G90" s="374"/>
      <c r="H90" s="375"/>
      <c r="I90" s="375"/>
      <c r="J90" s="375"/>
      <c r="K90" s="375"/>
    </row>
    <row r="91" spans="1:11">
      <c r="A91" s="415" t="s">
        <v>570</v>
      </c>
      <c r="B91" s="401" t="s">
        <v>571</v>
      </c>
      <c r="C91" s="403" t="s">
        <v>326</v>
      </c>
      <c r="D91" s="467">
        <v>1</v>
      </c>
      <c r="E91" s="446"/>
      <c r="F91" s="446">
        <f t="shared" si="2"/>
        <v>0</v>
      </c>
      <c r="G91" s="374"/>
      <c r="H91" s="375"/>
      <c r="I91" s="375"/>
      <c r="J91" s="375"/>
      <c r="K91" s="375"/>
    </row>
    <row r="92" spans="1:11">
      <c r="A92" s="415" t="s">
        <v>1047</v>
      </c>
      <c r="B92" s="401" t="s">
        <v>553</v>
      </c>
      <c r="C92" s="403" t="s">
        <v>326</v>
      </c>
      <c r="D92" s="467">
        <v>1</v>
      </c>
      <c r="E92" s="446"/>
      <c r="F92" s="446">
        <f t="shared" si="2"/>
        <v>0</v>
      </c>
      <c r="G92" s="374"/>
      <c r="H92" s="375"/>
      <c r="I92" s="375"/>
      <c r="J92" s="375"/>
      <c r="K92" s="375"/>
    </row>
    <row r="93" spans="1:11">
      <c r="A93" s="442" t="s">
        <v>1049</v>
      </c>
      <c r="B93" s="443" t="s">
        <v>683</v>
      </c>
      <c r="C93" s="442"/>
      <c r="D93" s="472"/>
      <c r="E93" s="445"/>
      <c r="F93" s="445"/>
      <c r="G93" s="374"/>
      <c r="H93" s="375"/>
      <c r="I93" s="375"/>
      <c r="J93" s="375"/>
      <c r="K93" s="375"/>
    </row>
    <row r="94" spans="1:11">
      <c r="A94" s="404" t="s">
        <v>1053</v>
      </c>
      <c r="B94" s="401" t="s">
        <v>687</v>
      </c>
      <c r="C94" s="403" t="s">
        <v>326</v>
      </c>
      <c r="D94" s="467">
        <v>1</v>
      </c>
      <c r="E94" s="446"/>
      <c r="F94" s="446">
        <f t="shared" si="2"/>
        <v>0</v>
      </c>
      <c r="G94" s="374"/>
      <c r="H94" s="375"/>
      <c r="I94" s="375"/>
      <c r="J94" s="375"/>
      <c r="K94" s="375"/>
    </row>
    <row r="95" spans="1:11">
      <c r="A95" s="558"/>
      <c r="B95" s="512" t="s">
        <v>1143</v>
      </c>
      <c r="C95" s="513"/>
      <c r="D95" s="514"/>
      <c r="E95" s="515"/>
      <c r="F95" s="516">
        <f>SUM(F76:F94)</f>
        <v>0</v>
      </c>
      <c r="G95" s="374"/>
      <c r="H95" s="375"/>
      <c r="I95" s="375"/>
      <c r="J95" s="375"/>
      <c r="K95" s="375"/>
    </row>
    <row r="96" spans="1:11">
      <c r="A96" s="558"/>
      <c r="B96" s="512"/>
      <c r="C96" s="513"/>
      <c r="D96" s="514"/>
      <c r="E96" s="515"/>
      <c r="F96" s="516"/>
      <c r="G96" s="374"/>
      <c r="H96" s="375"/>
      <c r="I96" s="375"/>
      <c r="J96" s="375"/>
      <c r="K96" s="375"/>
    </row>
    <row r="97" spans="1:11">
      <c r="A97" s="498" t="s">
        <v>1286</v>
      </c>
      <c r="B97" s="498"/>
      <c r="C97" s="499"/>
      <c r="D97" s="500"/>
      <c r="E97" s="501"/>
      <c r="F97" s="501"/>
      <c r="G97" s="374"/>
      <c r="H97" s="375"/>
      <c r="I97" s="375"/>
      <c r="J97" s="375"/>
      <c r="K97" s="375"/>
    </row>
    <row r="98" spans="1:11">
      <c r="A98" s="390"/>
      <c r="B98" s="420"/>
      <c r="E98" s="486"/>
      <c r="F98" s="486"/>
      <c r="G98" s="374"/>
      <c r="H98" s="375"/>
      <c r="I98" s="375"/>
      <c r="J98" s="375"/>
      <c r="K98" s="375"/>
    </row>
    <row r="99" spans="1:11">
      <c r="A99" s="438" t="s">
        <v>0</v>
      </c>
      <c r="B99" s="439" t="s">
        <v>967</v>
      </c>
      <c r="C99" s="438" t="s">
        <v>3</v>
      </c>
      <c r="D99" s="441" t="s">
        <v>839</v>
      </c>
      <c r="E99" s="441" t="s">
        <v>1097</v>
      </c>
      <c r="F99" s="441" t="s">
        <v>1199</v>
      </c>
      <c r="G99" s="374"/>
      <c r="H99" s="375"/>
      <c r="I99" s="375"/>
      <c r="J99" s="375"/>
      <c r="K99" s="375"/>
    </row>
    <row r="100" spans="1:11">
      <c r="A100" s="442" t="s">
        <v>773</v>
      </c>
      <c r="B100" s="443" t="s">
        <v>774</v>
      </c>
      <c r="C100" s="442"/>
      <c r="D100" s="472"/>
      <c r="E100" s="445"/>
      <c r="F100" s="445"/>
      <c r="G100" s="374"/>
      <c r="H100" s="375"/>
      <c r="I100" s="375"/>
      <c r="J100" s="375"/>
      <c r="K100" s="375"/>
    </row>
    <row r="101" spans="1:11">
      <c r="A101" s="415" t="s">
        <v>785</v>
      </c>
      <c r="B101" s="401" t="s">
        <v>779</v>
      </c>
      <c r="C101" s="403" t="s">
        <v>123</v>
      </c>
      <c r="D101" s="467">
        <v>1</v>
      </c>
      <c r="E101" s="446"/>
      <c r="F101" s="446">
        <f>+E101*D101</f>
        <v>0</v>
      </c>
      <c r="G101" s="374"/>
      <c r="H101" s="375"/>
      <c r="I101" s="375"/>
      <c r="J101" s="375"/>
      <c r="K101" s="375"/>
    </row>
    <row r="102" spans="1:11">
      <c r="A102" s="415" t="s">
        <v>778</v>
      </c>
      <c r="B102" s="401" t="s">
        <v>782</v>
      </c>
      <c r="C102" s="403" t="s">
        <v>783</v>
      </c>
      <c r="D102" s="467">
        <v>2</v>
      </c>
      <c r="E102" s="446"/>
      <c r="F102" s="446">
        <f t="shared" ref="F102:F109" si="3">+E102*D102</f>
        <v>0</v>
      </c>
      <c r="G102" s="374"/>
      <c r="H102" s="375"/>
      <c r="I102" s="375"/>
      <c r="J102" s="375"/>
      <c r="K102" s="375"/>
    </row>
    <row r="103" spans="1:11">
      <c r="A103" s="415" t="s">
        <v>784</v>
      </c>
      <c r="B103" s="401" t="s">
        <v>787</v>
      </c>
      <c r="C103" s="403" t="s">
        <v>783</v>
      </c>
      <c r="D103" s="467">
        <v>3.5</v>
      </c>
      <c r="E103" s="446"/>
      <c r="F103" s="446">
        <f t="shared" si="3"/>
        <v>0</v>
      </c>
      <c r="G103" s="374"/>
      <c r="H103" s="375"/>
      <c r="I103" s="375"/>
      <c r="J103" s="375"/>
      <c r="K103" s="375"/>
    </row>
    <row r="104" spans="1:11">
      <c r="A104" s="415" t="s">
        <v>788</v>
      </c>
      <c r="B104" s="401" t="s">
        <v>790</v>
      </c>
      <c r="C104" s="403" t="s">
        <v>783</v>
      </c>
      <c r="D104" s="467">
        <v>4</v>
      </c>
      <c r="E104" s="446"/>
      <c r="F104" s="446">
        <f t="shared" si="3"/>
        <v>0</v>
      </c>
      <c r="G104" s="374"/>
      <c r="H104" s="375"/>
      <c r="I104" s="375"/>
      <c r="J104" s="375"/>
      <c r="K104" s="375"/>
    </row>
    <row r="105" spans="1:11">
      <c r="A105" s="415" t="s">
        <v>791</v>
      </c>
      <c r="B105" s="401" t="s">
        <v>795</v>
      </c>
      <c r="C105" s="403" t="s">
        <v>794</v>
      </c>
      <c r="D105" s="467">
        <v>2.5</v>
      </c>
      <c r="E105" s="446"/>
      <c r="F105" s="446">
        <f t="shared" si="3"/>
        <v>0</v>
      </c>
      <c r="G105" s="374"/>
      <c r="H105" s="375"/>
      <c r="I105" s="375"/>
      <c r="J105" s="375"/>
      <c r="K105" s="375"/>
    </row>
    <row r="106" spans="1:11">
      <c r="A106" s="415" t="s">
        <v>796</v>
      </c>
      <c r="B106" s="401" t="s">
        <v>798</v>
      </c>
      <c r="C106" s="403" t="s">
        <v>85</v>
      </c>
      <c r="D106" s="467">
        <v>1</v>
      </c>
      <c r="E106" s="446"/>
      <c r="F106" s="446">
        <f t="shared" si="3"/>
        <v>0</v>
      </c>
      <c r="G106" s="374"/>
      <c r="H106" s="375"/>
      <c r="I106" s="375"/>
      <c r="J106" s="375"/>
      <c r="K106" s="375"/>
    </row>
    <row r="107" spans="1:11">
      <c r="A107" s="415" t="s">
        <v>799</v>
      </c>
      <c r="B107" s="401" t="s">
        <v>1058</v>
      </c>
      <c r="C107" s="403" t="s">
        <v>794</v>
      </c>
      <c r="D107" s="467">
        <v>35</v>
      </c>
      <c r="E107" s="446"/>
      <c r="F107" s="446">
        <f t="shared" si="3"/>
        <v>0</v>
      </c>
      <c r="G107" s="374"/>
      <c r="H107" s="375"/>
      <c r="I107" s="375"/>
      <c r="J107" s="375"/>
      <c r="K107" s="375"/>
    </row>
    <row r="108" spans="1:11">
      <c r="A108" s="415" t="s">
        <v>801</v>
      </c>
      <c r="B108" s="401" t="s">
        <v>803</v>
      </c>
      <c r="C108" s="403" t="s">
        <v>67</v>
      </c>
      <c r="D108" s="467">
        <v>10</v>
      </c>
      <c r="E108" s="446"/>
      <c r="F108" s="446">
        <f t="shared" si="3"/>
        <v>0</v>
      </c>
      <c r="G108" s="374"/>
      <c r="H108" s="375"/>
      <c r="I108" s="375"/>
      <c r="J108" s="375"/>
      <c r="K108" s="375"/>
    </row>
    <row r="109" spans="1:11" ht="27.6">
      <c r="A109" s="415" t="s">
        <v>808</v>
      </c>
      <c r="B109" s="401" t="s">
        <v>809</v>
      </c>
      <c r="C109" s="403" t="s">
        <v>810</v>
      </c>
      <c r="D109" s="467">
        <v>3</v>
      </c>
      <c r="E109" s="446"/>
      <c r="F109" s="446">
        <f t="shared" si="3"/>
        <v>0</v>
      </c>
      <c r="G109" s="374"/>
      <c r="H109" s="375"/>
      <c r="I109" s="375"/>
      <c r="J109" s="375"/>
      <c r="K109" s="375"/>
    </row>
    <row r="110" spans="1:11">
      <c r="A110" s="558"/>
      <c r="B110" s="512" t="s">
        <v>1273</v>
      </c>
      <c r="C110" s="513"/>
      <c r="D110" s="514"/>
      <c r="E110" s="515"/>
      <c r="F110" s="516">
        <f>SUM(F101:F109)</f>
        <v>0</v>
      </c>
      <c r="G110" s="374"/>
      <c r="H110" s="375"/>
      <c r="I110" s="375"/>
      <c r="J110" s="375"/>
      <c r="K110" s="375"/>
    </row>
    <row r="111" spans="1:11">
      <c r="A111" s="558"/>
      <c r="B111" s="512" t="s">
        <v>1274</v>
      </c>
      <c r="C111" s="513"/>
      <c r="D111" s="514"/>
      <c r="E111" s="515"/>
      <c r="F111" s="516">
        <f>+F110+F95</f>
        <v>0</v>
      </c>
      <c r="G111" s="374"/>
      <c r="H111" s="375"/>
      <c r="I111" s="375"/>
      <c r="J111" s="375"/>
      <c r="K111" s="375"/>
    </row>
    <row r="112" spans="1:11">
      <c r="A112" s="420"/>
      <c r="B112" s="420"/>
      <c r="E112" s="486"/>
      <c r="F112" s="486"/>
      <c r="G112" s="374"/>
      <c r="H112" s="375"/>
      <c r="I112" s="375"/>
      <c r="J112" s="375"/>
      <c r="K112" s="375"/>
    </row>
    <row r="113" spans="1:11">
      <c r="A113" s="498" t="s">
        <v>1287</v>
      </c>
      <c r="B113" s="498"/>
      <c r="C113" s="499"/>
      <c r="D113" s="500"/>
      <c r="E113" s="501"/>
      <c r="F113" s="501"/>
      <c r="G113" s="375"/>
      <c r="H113" s="375"/>
      <c r="I113" s="375"/>
      <c r="J113" s="375"/>
      <c r="K113" s="374"/>
    </row>
    <row r="114" spans="1:11">
      <c r="A114" s="420"/>
      <c r="B114" s="419"/>
      <c r="E114" s="486"/>
      <c r="F114" s="486"/>
      <c r="G114" s="375"/>
      <c r="H114" s="375"/>
      <c r="I114" s="375"/>
      <c r="J114" s="375"/>
      <c r="K114" s="375"/>
    </row>
    <row r="115" spans="1:11">
      <c r="A115" s="438" t="s">
        <v>0</v>
      </c>
      <c r="B115" s="439" t="s">
        <v>1155</v>
      </c>
      <c r="C115" s="438" t="s">
        <v>3</v>
      </c>
      <c r="D115" s="441" t="s">
        <v>839</v>
      </c>
      <c r="E115" s="441" t="s">
        <v>1097</v>
      </c>
      <c r="F115" s="441" t="s">
        <v>1199</v>
      </c>
      <c r="G115" s="374"/>
      <c r="H115" s="375"/>
      <c r="I115" s="375"/>
      <c r="J115" s="375"/>
      <c r="K115" s="375"/>
    </row>
    <row r="116" spans="1:11">
      <c r="A116" s="442" t="s">
        <v>931</v>
      </c>
      <c r="B116" s="443" t="s">
        <v>206</v>
      </c>
      <c r="C116" s="442"/>
      <c r="D116" s="472"/>
      <c r="E116" s="445"/>
      <c r="F116" s="445"/>
      <c r="G116" s="374"/>
      <c r="H116" s="375"/>
      <c r="I116" s="375"/>
      <c r="J116" s="375"/>
      <c r="K116" s="375"/>
    </row>
    <row r="117" spans="1:11">
      <c r="A117" s="442" t="s">
        <v>932</v>
      </c>
      <c r="B117" s="443" t="s">
        <v>208</v>
      </c>
      <c r="C117" s="442"/>
      <c r="D117" s="472"/>
      <c r="E117" s="445"/>
      <c r="F117" s="445"/>
      <c r="G117" s="374"/>
      <c r="H117" s="375"/>
      <c r="I117" s="375"/>
      <c r="J117" s="375"/>
      <c r="K117" s="375"/>
    </row>
    <row r="118" spans="1:11">
      <c r="A118" s="406" t="s">
        <v>207</v>
      </c>
      <c r="B118" s="401" t="s">
        <v>217</v>
      </c>
      <c r="C118" s="398" t="s">
        <v>147</v>
      </c>
      <c r="D118" s="543">
        <v>1</v>
      </c>
      <c r="E118" s="446"/>
      <c r="F118" s="446">
        <f>+E118*D118</f>
        <v>0</v>
      </c>
      <c r="G118" s="374"/>
      <c r="H118" s="375"/>
      <c r="I118" s="375"/>
      <c r="J118" s="375"/>
      <c r="K118" s="375"/>
    </row>
    <row r="119" spans="1:11">
      <c r="A119" s="442" t="s">
        <v>933</v>
      </c>
      <c r="B119" s="443" t="s">
        <v>1276</v>
      </c>
      <c r="C119" s="442"/>
      <c r="D119" s="472"/>
      <c r="E119" s="445"/>
      <c r="F119" s="445"/>
      <c r="G119" s="374"/>
      <c r="H119" s="375"/>
      <c r="I119" s="375"/>
      <c r="J119" s="375"/>
      <c r="K119" s="375"/>
    </row>
    <row r="120" spans="1:11">
      <c r="A120" s="406" t="s">
        <v>934</v>
      </c>
      <c r="B120" s="401" t="s">
        <v>223</v>
      </c>
      <c r="C120" s="398" t="s">
        <v>224</v>
      </c>
      <c r="D120" s="543">
        <v>3</v>
      </c>
      <c r="E120" s="446"/>
      <c r="F120" s="446">
        <f t="shared" ref="F120:F137" si="4">+E120*D120</f>
        <v>0</v>
      </c>
      <c r="G120" s="374"/>
      <c r="H120" s="375"/>
      <c r="I120" s="375"/>
      <c r="J120" s="375"/>
      <c r="K120" s="375"/>
    </row>
    <row r="121" spans="1:11">
      <c r="A121" s="406" t="s">
        <v>937</v>
      </c>
      <c r="B121" s="401" t="s">
        <v>126</v>
      </c>
      <c r="C121" s="398" t="s">
        <v>67</v>
      </c>
      <c r="D121" s="543">
        <v>400</v>
      </c>
      <c r="E121" s="446"/>
      <c r="F121" s="446">
        <f t="shared" si="4"/>
        <v>0</v>
      </c>
      <c r="G121" s="374"/>
      <c r="H121" s="375"/>
      <c r="I121" s="375"/>
      <c r="J121" s="375"/>
      <c r="K121" s="375"/>
    </row>
    <row r="122" spans="1:11">
      <c r="A122" s="406" t="s">
        <v>938</v>
      </c>
      <c r="B122" s="401" t="s">
        <v>122</v>
      </c>
      <c r="C122" s="398" t="s">
        <v>123</v>
      </c>
      <c r="D122" s="543">
        <v>1</v>
      </c>
      <c r="E122" s="446"/>
      <c r="F122" s="446">
        <f t="shared" si="4"/>
        <v>0</v>
      </c>
      <c r="G122" s="374"/>
      <c r="H122" s="375"/>
      <c r="I122" s="375"/>
      <c r="J122" s="375"/>
      <c r="K122" s="375"/>
    </row>
    <row r="123" spans="1:11">
      <c r="A123" s="442" t="s">
        <v>939</v>
      </c>
      <c r="B123" s="443" t="s">
        <v>152</v>
      </c>
      <c r="C123" s="442"/>
      <c r="D123" s="472"/>
      <c r="E123" s="445"/>
      <c r="F123" s="445"/>
      <c r="G123" s="374"/>
      <c r="H123" s="375"/>
      <c r="I123" s="375"/>
      <c r="J123" s="375"/>
      <c r="K123" s="375"/>
    </row>
    <row r="124" spans="1:11">
      <c r="A124" s="406" t="s">
        <v>153</v>
      </c>
      <c r="B124" s="401" t="s">
        <v>154</v>
      </c>
      <c r="C124" s="398" t="s">
        <v>155</v>
      </c>
      <c r="D124" s="543">
        <v>1</v>
      </c>
      <c r="E124" s="446"/>
      <c r="F124" s="446">
        <f t="shared" si="4"/>
        <v>0</v>
      </c>
      <c r="G124" s="374"/>
      <c r="H124" s="375"/>
      <c r="I124" s="375"/>
      <c r="J124" s="375"/>
      <c r="K124" s="375"/>
    </row>
    <row r="125" spans="1:11">
      <c r="A125" s="442" t="s">
        <v>940</v>
      </c>
      <c r="B125" s="443" t="s">
        <v>144</v>
      </c>
      <c r="C125" s="442"/>
      <c r="D125" s="472"/>
      <c r="E125" s="445"/>
      <c r="F125" s="445">
        <f t="shared" si="4"/>
        <v>0</v>
      </c>
      <c r="G125" s="374"/>
      <c r="H125" s="375"/>
      <c r="I125" s="375"/>
      <c r="J125" s="375"/>
      <c r="K125" s="375"/>
    </row>
    <row r="126" spans="1:11">
      <c r="A126" s="406" t="s">
        <v>941</v>
      </c>
      <c r="B126" s="401" t="s">
        <v>150</v>
      </c>
      <c r="C126" s="398" t="s">
        <v>147</v>
      </c>
      <c r="D126" s="546">
        <v>20</v>
      </c>
      <c r="E126" s="446"/>
      <c r="F126" s="446">
        <f t="shared" si="4"/>
        <v>0</v>
      </c>
      <c r="G126" s="374"/>
      <c r="H126" s="375"/>
      <c r="I126" s="375"/>
      <c r="J126" s="375"/>
      <c r="K126" s="375"/>
    </row>
    <row r="127" spans="1:11">
      <c r="A127" s="406" t="s">
        <v>942</v>
      </c>
      <c r="B127" s="401" t="s">
        <v>148</v>
      </c>
      <c r="C127" s="398" t="s">
        <v>147</v>
      </c>
      <c r="D127" s="546">
        <v>8</v>
      </c>
      <c r="E127" s="446"/>
      <c r="F127" s="446">
        <f t="shared" si="4"/>
        <v>0</v>
      </c>
      <c r="G127" s="374"/>
      <c r="H127" s="375"/>
      <c r="I127" s="375"/>
      <c r="J127" s="375"/>
      <c r="K127" s="375"/>
    </row>
    <row r="128" spans="1:11">
      <c r="A128" s="442" t="s">
        <v>943</v>
      </c>
      <c r="B128" s="443" t="s">
        <v>162</v>
      </c>
      <c r="C128" s="442"/>
      <c r="D128" s="472"/>
      <c r="E128" s="445"/>
      <c r="F128" s="445"/>
      <c r="G128" s="374"/>
      <c r="H128" s="375"/>
      <c r="I128" s="375"/>
      <c r="J128" s="375"/>
      <c r="K128" s="375"/>
    </row>
    <row r="129" spans="1:11" ht="27.6">
      <c r="A129" s="406" t="s">
        <v>944</v>
      </c>
      <c r="B129" s="401" t="s">
        <v>1288</v>
      </c>
      <c r="C129" s="398" t="s">
        <v>147</v>
      </c>
      <c r="D129" s="543">
        <v>15</v>
      </c>
      <c r="E129" s="446"/>
      <c r="F129" s="446">
        <f t="shared" si="4"/>
        <v>0</v>
      </c>
      <c r="G129" s="374"/>
      <c r="H129" s="375"/>
      <c r="I129" s="375"/>
      <c r="J129" s="375"/>
      <c r="K129" s="375"/>
    </row>
    <row r="130" spans="1:11">
      <c r="A130" s="442" t="s">
        <v>946</v>
      </c>
      <c r="B130" s="443" t="s">
        <v>171</v>
      </c>
      <c r="C130" s="442"/>
      <c r="D130" s="472"/>
      <c r="E130" s="445"/>
      <c r="F130" s="445"/>
      <c r="G130" s="374"/>
      <c r="H130" s="375"/>
      <c r="I130" s="375"/>
      <c r="J130" s="375"/>
      <c r="K130" s="375"/>
    </row>
    <row r="131" spans="1:11">
      <c r="A131" s="406" t="s">
        <v>951</v>
      </c>
      <c r="B131" s="401" t="s">
        <v>188</v>
      </c>
      <c r="C131" s="398" t="s">
        <v>147</v>
      </c>
      <c r="D131" s="543">
        <v>3</v>
      </c>
      <c r="E131" s="446"/>
      <c r="F131" s="446">
        <f t="shared" si="4"/>
        <v>0</v>
      </c>
      <c r="G131" s="374"/>
      <c r="H131" s="375"/>
      <c r="I131" s="375"/>
      <c r="J131" s="375"/>
      <c r="K131" s="375"/>
    </row>
    <row r="132" spans="1:11">
      <c r="A132" s="406" t="s">
        <v>952</v>
      </c>
      <c r="B132" s="401" t="s">
        <v>174</v>
      </c>
      <c r="C132" s="398" t="s">
        <v>147</v>
      </c>
      <c r="D132" s="543">
        <v>3</v>
      </c>
      <c r="E132" s="446"/>
      <c r="F132" s="446">
        <f t="shared" si="4"/>
        <v>0</v>
      </c>
      <c r="G132" s="374"/>
      <c r="H132" s="375"/>
      <c r="I132" s="375"/>
      <c r="J132" s="375"/>
      <c r="K132" s="375"/>
    </row>
    <row r="133" spans="1:11">
      <c r="A133" s="406" t="s">
        <v>953</v>
      </c>
      <c r="B133" s="401" t="s">
        <v>180</v>
      </c>
      <c r="C133" s="398" t="s">
        <v>123</v>
      </c>
      <c r="D133" s="543">
        <v>1</v>
      </c>
      <c r="E133" s="446"/>
      <c r="F133" s="446">
        <f t="shared" si="4"/>
        <v>0</v>
      </c>
      <c r="G133" s="374"/>
      <c r="H133" s="375"/>
      <c r="I133" s="375"/>
      <c r="J133" s="375"/>
      <c r="K133" s="375"/>
    </row>
    <row r="134" spans="1:11">
      <c r="A134" s="406" t="s">
        <v>959</v>
      </c>
      <c r="B134" s="401" t="s">
        <v>193</v>
      </c>
      <c r="C134" s="398" t="s">
        <v>147</v>
      </c>
      <c r="D134" s="543">
        <v>1</v>
      </c>
      <c r="E134" s="446"/>
      <c r="F134" s="446">
        <f>+E134*D134</f>
        <v>0</v>
      </c>
      <c r="G134" s="374"/>
      <c r="H134" s="375"/>
      <c r="I134" s="375"/>
      <c r="J134" s="375"/>
      <c r="K134" s="375"/>
    </row>
    <row r="135" spans="1:11">
      <c r="A135" s="406" t="s">
        <v>960</v>
      </c>
      <c r="B135" s="401" t="s">
        <v>196</v>
      </c>
      <c r="C135" s="398" t="s">
        <v>147</v>
      </c>
      <c r="D135" s="543">
        <v>1</v>
      </c>
      <c r="E135" s="446"/>
      <c r="F135" s="446">
        <f>+E135*D135</f>
        <v>0</v>
      </c>
      <c r="G135" s="374"/>
      <c r="H135" s="375"/>
      <c r="I135" s="375"/>
      <c r="J135" s="375"/>
      <c r="K135" s="375"/>
    </row>
    <row r="136" spans="1:11">
      <c r="A136" s="442" t="s">
        <v>963</v>
      </c>
      <c r="B136" s="443" t="s">
        <v>157</v>
      </c>
      <c r="C136" s="442"/>
      <c r="D136" s="472"/>
      <c r="E136" s="445"/>
      <c r="F136" s="445"/>
      <c r="G136" s="374"/>
      <c r="H136" s="375"/>
      <c r="I136" s="375"/>
      <c r="J136" s="375"/>
      <c r="K136" s="375"/>
    </row>
    <row r="137" spans="1:11">
      <c r="A137" s="406" t="s">
        <v>964</v>
      </c>
      <c r="B137" s="401" t="s">
        <v>159</v>
      </c>
      <c r="C137" s="398" t="s">
        <v>147</v>
      </c>
      <c r="D137" s="543">
        <v>1</v>
      </c>
      <c r="E137" s="446"/>
      <c r="F137" s="446">
        <f t="shared" si="4"/>
        <v>0</v>
      </c>
      <c r="G137" s="374"/>
      <c r="H137" s="375"/>
      <c r="I137" s="375"/>
      <c r="J137" s="375"/>
      <c r="K137" s="375"/>
    </row>
    <row r="138" spans="1:11">
      <c r="A138" s="558"/>
      <c r="B138" s="512" t="s">
        <v>1157</v>
      </c>
      <c r="C138" s="513"/>
      <c r="D138" s="514"/>
      <c r="E138" s="515"/>
      <c r="F138" s="516">
        <f>SUM(F118:F137)</f>
        <v>0</v>
      </c>
      <c r="G138" s="374"/>
      <c r="H138" s="375"/>
      <c r="I138" s="375"/>
      <c r="J138" s="375"/>
      <c r="K138" s="375"/>
    </row>
    <row r="139" spans="1:11">
      <c r="A139" s="418"/>
      <c r="B139" s="420"/>
      <c r="E139" s="486"/>
      <c r="F139" s="486"/>
      <c r="G139" s="374"/>
      <c r="H139" s="375"/>
      <c r="I139" s="375"/>
      <c r="J139" s="375"/>
      <c r="K139" s="375"/>
    </row>
    <row r="140" spans="1:11">
      <c r="A140" s="394"/>
      <c r="B140" s="559" t="s">
        <v>1194</v>
      </c>
      <c r="C140" s="562"/>
      <c r="D140" s="563"/>
      <c r="E140" s="559"/>
      <c r="F140" s="516">
        <f>+F138+F111+F70</f>
        <v>0</v>
      </c>
      <c r="G140" s="374"/>
      <c r="H140" s="375"/>
      <c r="I140" s="375"/>
      <c r="J140" s="375"/>
      <c r="K140" s="375"/>
    </row>
    <row r="141" spans="1:11">
      <c r="A141" s="394"/>
      <c r="B141" s="559" t="s">
        <v>1195</v>
      </c>
      <c r="C141" s="562"/>
      <c r="D141" s="563"/>
      <c r="E141" s="559"/>
      <c r="F141" s="516">
        <f>+F140*0.18</f>
        <v>0</v>
      </c>
      <c r="G141" s="374"/>
      <c r="H141" s="375"/>
      <c r="I141" s="375"/>
      <c r="J141" s="375"/>
      <c r="K141" s="375"/>
    </row>
    <row r="142" spans="1:11">
      <c r="A142" s="394"/>
      <c r="B142" s="559" t="s">
        <v>1196</v>
      </c>
      <c r="C142" s="562"/>
      <c r="D142" s="563"/>
      <c r="E142" s="559"/>
      <c r="F142" s="516">
        <f>SUM(F140:F141)</f>
        <v>0</v>
      </c>
      <c r="G142" s="374"/>
      <c r="H142" s="375"/>
      <c r="I142" s="375"/>
      <c r="J142" s="375"/>
      <c r="K142" s="375"/>
    </row>
  </sheetData>
  <mergeCells count="1">
    <mergeCell ref="A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0"/>
  <sheetViews>
    <sheetView zoomScale="85" zoomScaleNormal="85" workbookViewId="0">
      <selection activeCell="E52" sqref="E52:E71"/>
    </sheetView>
  </sheetViews>
  <sheetFormatPr defaultColWidth="11.42578125" defaultRowHeight="14.45"/>
  <cols>
    <col min="1" max="1" width="16.5703125" style="435" bestFit="1" customWidth="1"/>
    <col min="2" max="2" width="59.5703125" style="435" bestFit="1" customWidth="1"/>
    <col min="3" max="3" width="7" style="470" bestFit="1" customWidth="1"/>
    <col min="4" max="4" width="11.140625" style="542" bestFit="1" customWidth="1"/>
    <col min="5" max="5" width="14.5703125" style="506" bestFit="1" customWidth="1"/>
    <col min="6" max="6" width="19.42578125" style="506" bestFit="1" customWidth="1"/>
  </cols>
  <sheetData>
    <row r="1" spans="1:6">
      <c r="A1" s="420"/>
      <c r="B1" s="420"/>
    </row>
    <row r="2" spans="1:6" ht="27.75" customHeight="1">
      <c r="A2" s="590" t="s">
        <v>1289</v>
      </c>
      <c r="B2" s="590"/>
      <c r="C2" s="590"/>
      <c r="D2" s="590"/>
      <c r="E2" s="590"/>
      <c r="F2" s="590"/>
    </row>
    <row r="3" spans="1:6">
      <c r="C3" s="435"/>
      <c r="D3" s="435"/>
      <c r="E3" s="437"/>
      <c r="F3" s="437"/>
    </row>
    <row r="4" spans="1:6">
      <c r="A4" s="498" t="s">
        <v>1290</v>
      </c>
      <c r="B4" s="498"/>
      <c r="C4" s="499"/>
      <c r="D4" s="500"/>
      <c r="E4" s="501"/>
      <c r="F4" s="501"/>
    </row>
    <row r="5" spans="1:6">
      <c r="A5" s="390"/>
      <c r="B5" s="420"/>
    </row>
    <row r="6" spans="1:6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1097</v>
      </c>
      <c r="F6" s="441" t="s">
        <v>1098</v>
      </c>
    </row>
    <row r="7" spans="1:6">
      <c r="A7" s="442" t="s">
        <v>715</v>
      </c>
      <c r="B7" s="443" t="s">
        <v>716</v>
      </c>
      <c r="C7" s="442"/>
      <c r="D7" s="472"/>
      <c r="E7" s="445"/>
      <c r="F7" s="445" t="s">
        <v>28</v>
      </c>
    </row>
    <row r="8" spans="1:6">
      <c r="A8" s="398" t="s">
        <v>717</v>
      </c>
      <c r="B8" s="399" t="s">
        <v>720</v>
      </c>
      <c r="C8" s="398" t="s">
        <v>123</v>
      </c>
      <c r="D8" s="554">
        <v>1</v>
      </c>
      <c r="E8" s="446"/>
      <c r="F8" s="446">
        <f>+E8*D8</f>
        <v>0</v>
      </c>
    </row>
    <row r="9" spans="1:6">
      <c r="A9" s="442" t="s">
        <v>1034</v>
      </c>
      <c r="B9" s="443" t="s">
        <v>827</v>
      </c>
      <c r="C9" s="442"/>
      <c r="D9" s="472"/>
      <c r="E9" s="445"/>
      <c r="F9" s="445"/>
    </row>
    <row r="10" spans="1:6">
      <c r="A10" s="415" t="s">
        <v>1035</v>
      </c>
      <c r="B10" s="401" t="s">
        <v>831</v>
      </c>
      <c r="C10" s="403" t="s">
        <v>67</v>
      </c>
      <c r="D10" s="556">
        <v>12</v>
      </c>
      <c r="E10" s="446"/>
      <c r="F10" s="446">
        <f t="shared" ref="F10:F28" si="0">+E10*D10</f>
        <v>0</v>
      </c>
    </row>
    <row r="11" spans="1:6">
      <c r="A11" s="415" t="s">
        <v>1036</v>
      </c>
      <c r="B11" s="401" t="s">
        <v>834</v>
      </c>
      <c r="C11" s="403" t="s">
        <v>67</v>
      </c>
      <c r="D11" s="556">
        <v>3</v>
      </c>
      <c r="E11" s="446"/>
      <c r="F11" s="446">
        <f t="shared" si="0"/>
        <v>0</v>
      </c>
    </row>
    <row r="12" spans="1:6">
      <c r="A12" s="415" t="s">
        <v>837</v>
      </c>
      <c r="B12" s="401" t="s">
        <v>836</v>
      </c>
      <c r="C12" s="403" t="s">
        <v>67</v>
      </c>
      <c r="D12" s="556">
        <v>12</v>
      </c>
      <c r="E12" s="446"/>
      <c r="F12" s="446">
        <f t="shared" si="0"/>
        <v>0</v>
      </c>
    </row>
    <row r="13" spans="1:6">
      <c r="A13" s="442" t="s">
        <v>899</v>
      </c>
      <c r="B13" s="443" t="s">
        <v>323</v>
      </c>
      <c r="C13" s="442"/>
      <c r="D13" s="472"/>
      <c r="E13" s="445"/>
      <c r="F13" s="445"/>
    </row>
    <row r="14" spans="1:6">
      <c r="A14" s="398" t="s">
        <v>900</v>
      </c>
      <c r="B14" s="401" t="s">
        <v>325</v>
      </c>
      <c r="C14" s="403" t="s">
        <v>326</v>
      </c>
      <c r="D14" s="555">
        <v>3</v>
      </c>
      <c r="E14" s="446"/>
      <c r="F14" s="446">
        <f t="shared" si="0"/>
        <v>0</v>
      </c>
    </row>
    <row r="15" spans="1:6">
      <c r="A15" s="398" t="s">
        <v>902</v>
      </c>
      <c r="B15" s="401" t="s">
        <v>328</v>
      </c>
      <c r="C15" s="403" t="s">
        <v>326</v>
      </c>
      <c r="D15" s="555">
        <v>27</v>
      </c>
      <c r="E15" s="446"/>
      <c r="F15" s="446">
        <f t="shared" si="0"/>
        <v>0</v>
      </c>
    </row>
    <row r="16" spans="1:6">
      <c r="A16" s="442" t="s">
        <v>1037</v>
      </c>
      <c r="B16" s="443" t="s">
        <v>14</v>
      </c>
      <c r="C16" s="442"/>
      <c r="D16" s="472"/>
      <c r="E16" s="445"/>
      <c r="F16" s="445"/>
    </row>
    <row r="17" spans="1:6">
      <c r="A17" s="415" t="s">
        <v>1038</v>
      </c>
      <c r="B17" s="401" t="s">
        <v>1039</v>
      </c>
      <c r="C17" s="403" t="s">
        <v>326</v>
      </c>
      <c r="D17" s="555">
        <v>2</v>
      </c>
      <c r="E17" s="446"/>
      <c r="F17" s="446">
        <f t="shared" si="0"/>
        <v>0</v>
      </c>
    </row>
    <row r="18" spans="1:6">
      <c r="A18" s="415" t="s">
        <v>1040</v>
      </c>
      <c r="B18" s="401" t="s">
        <v>526</v>
      </c>
      <c r="C18" s="403" t="s">
        <v>326</v>
      </c>
      <c r="D18" s="555">
        <v>1</v>
      </c>
      <c r="E18" s="446"/>
      <c r="F18" s="446">
        <f t="shared" si="0"/>
        <v>0</v>
      </c>
    </row>
    <row r="19" spans="1:6">
      <c r="A19" s="415" t="s">
        <v>1041</v>
      </c>
      <c r="B19" s="401" t="s">
        <v>529</v>
      </c>
      <c r="C19" s="403" t="s">
        <v>326</v>
      </c>
      <c r="D19" s="555">
        <v>1</v>
      </c>
      <c r="E19" s="446"/>
      <c r="F19" s="446">
        <f t="shared" si="0"/>
        <v>0</v>
      </c>
    </row>
    <row r="20" spans="1:6">
      <c r="A20" s="415" t="s">
        <v>1042</v>
      </c>
      <c r="B20" s="401" t="s">
        <v>608</v>
      </c>
      <c r="C20" s="403" t="s">
        <v>326</v>
      </c>
      <c r="D20" s="555">
        <v>4</v>
      </c>
      <c r="E20" s="446"/>
      <c r="F20" s="446">
        <f t="shared" si="0"/>
        <v>0</v>
      </c>
    </row>
    <row r="21" spans="1:6">
      <c r="A21" s="415" t="s">
        <v>1043</v>
      </c>
      <c r="B21" s="401" t="s">
        <v>582</v>
      </c>
      <c r="C21" s="403" t="s">
        <v>326</v>
      </c>
      <c r="D21" s="555">
        <v>4</v>
      </c>
      <c r="E21" s="446"/>
      <c r="F21" s="446">
        <f t="shared" si="0"/>
        <v>0</v>
      </c>
    </row>
    <row r="22" spans="1:6">
      <c r="A22" s="415" t="s">
        <v>1044</v>
      </c>
      <c r="B22" s="401" t="s">
        <v>595</v>
      </c>
      <c r="C22" s="403" t="s">
        <v>326</v>
      </c>
      <c r="D22" s="555">
        <v>2</v>
      </c>
      <c r="E22" s="446"/>
      <c r="F22" s="446">
        <f t="shared" si="0"/>
        <v>0</v>
      </c>
    </row>
    <row r="23" spans="1:6">
      <c r="A23" s="415" t="s">
        <v>1045</v>
      </c>
      <c r="B23" s="401" t="s">
        <v>590</v>
      </c>
      <c r="C23" s="403" t="s">
        <v>326</v>
      </c>
      <c r="D23" s="555">
        <v>4</v>
      </c>
      <c r="E23" s="446"/>
      <c r="F23" s="446">
        <f t="shared" si="0"/>
        <v>0</v>
      </c>
    </row>
    <row r="24" spans="1:6">
      <c r="A24" s="415" t="s">
        <v>1046</v>
      </c>
      <c r="B24" s="401" t="s">
        <v>506</v>
      </c>
      <c r="C24" s="403" t="s">
        <v>326</v>
      </c>
      <c r="D24" s="555">
        <v>1</v>
      </c>
      <c r="E24" s="446"/>
      <c r="F24" s="446">
        <f t="shared" si="0"/>
        <v>0</v>
      </c>
    </row>
    <row r="25" spans="1:6">
      <c r="A25" s="415" t="s">
        <v>570</v>
      </c>
      <c r="B25" s="401" t="s">
        <v>571</v>
      </c>
      <c r="C25" s="403" t="s">
        <v>326</v>
      </c>
      <c r="D25" s="555">
        <v>1</v>
      </c>
      <c r="E25" s="446"/>
      <c r="F25" s="446">
        <f t="shared" si="0"/>
        <v>0</v>
      </c>
    </row>
    <row r="26" spans="1:6">
      <c r="A26" s="415" t="s">
        <v>1047</v>
      </c>
      <c r="B26" s="401" t="s">
        <v>553</v>
      </c>
      <c r="C26" s="403" t="s">
        <v>326</v>
      </c>
      <c r="D26" s="555">
        <v>1</v>
      </c>
      <c r="E26" s="446"/>
      <c r="F26" s="446">
        <f t="shared" si="0"/>
        <v>0</v>
      </c>
    </row>
    <row r="27" spans="1:6">
      <c r="A27" s="442" t="s">
        <v>1291</v>
      </c>
      <c r="B27" s="443" t="s">
        <v>683</v>
      </c>
      <c r="C27" s="442"/>
      <c r="D27" s="472"/>
      <c r="E27" s="445"/>
      <c r="F27" s="445"/>
    </row>
    <row r="28" spans="1:6">
      <c r="A28" s="398" t="s">
        <v>1052</v>
      </c>
      <c r="B28" s="401" t="s">
        <v>689</v>
      </c>
      <c r="C28" s="403" t="s">
        <v>326</v>
      </c>
      <c r="D28" s="555">
        <v>1</v>
      </c>
      <c r="E28" s="446"/>
      <c r="F28" s="446">
        <f t="shared" si="0"/>
        <v>0</v>
      </c>
    </row>
    <row r="29" spans="1:6">
      <c r="A29" s="558"/>
      <c r="B29" s="512" t="s">
        <v>1143</v>
      </c>
      <c r="C29" s="513"/>
      <c r="D29" s="514"/>
      <c r="E29" s="515"/>
      <c r="F29" s="516">
        <f>SUM(F8:F28)</f>
        <v>0</v>
      </c>
    </row>
    <row r="30" spans="1:6">
      <c r="A30" s="419"/>
      <c r="B30" s="419"/>
      <c r="C30" s="551"/>
      <c r="D30" s="553"/>
    </row>
    <row r="31" spans="1:6">
      <c r="A31" s="498" t="s">
        <v>1292</v>
      </c>
      <c r="B31" s="498"/>
      <c r="C31" s="499"/>
      <c r="D31" s="500"/>
      <c r="E31" s="501"/>
      <c r="F31" s="501"/>
    </row>
    <row r="32" spans="1:6">
      <c r="A32" s="390"/>
      <c r="B32" s="420"/>
    </row>
    <row r="33" spans="1:12">
      <c r="A33" s="438" t="s">
        <v>0</v>
      </c>
      <c r="B33" s="439" t="s">
        <v>967</v>
      </c>
      <c r="C33" s="438" t="s">
        <v>3</v>
      </c>
      <c r="D33" s="441" t="s">
        <v>839</v>
      </c>
      <c r="E33" s="441" t="s">
        <v>1097</v>
      </c>
      <c r="F33" s="441" t="s">
        <v>1098</v>
      </c>
    </row>
    <row r="34" spans="1:12">
      <c r="A34" s="442" t="s">
        <v>773</v>
      </c>
      <c r="B34" s="443" t="s">
        <v>774</v>
      </c>
      <c r="C34" s="442"/>
      <c r="D34" s="472"/>
      <c r="E34" s="445"/>
      <c r="F34" s="445"/>
    </row>
    <row r="35" spans="1:12">
      <c r="A35" s="415" t="s">
        <v>785</v>
      </c>
      <c r="B35" s="401" t="s">
        <v>779</v>
      </c>
      <c r="C35" s="403" t="s">
        <v>123</v>
      </c>
      <c r="D35" s="555">
        <v>1</v>
      </c>
      <c r="E35" s="446"/>
      <c r="F35" s="446">
        <f>+E35*D35</f>
        <v>0</v>
      </c>
    </row>
    <row r="36" spans="1:12">
      <c r="A36" s="415" t="s">
        <v>778</v>
      </c>
      <c r="B36" s="401" t="s">
        <v>782</v>
      </c>
      <c r="C36" s="403" t="s">
        <v>783</v>
      </c>
      <c r="D36" s="555">
        <v>3</v>
      </c>
      <c r="E36" s="446"/>
      <c r="F36" s="446">
        <f t="shared" ref="F36:F43" si="1">+E36*D36</f>
        <v>0</v>
      </c>
    </row>
    <row r="37" spans="1:12">
      <c r="A37" s="415" t="s">
        <v>784</v>
      </c>
      <c r="B37" s="401" t="s">
        <v>787</v>
      </c>
      <c r="C37" s="403" t="s">
        <v>783</v>
      </c>
      <c r="D37" s="555">
        <v>5</v>
      </c>
      <c r="E37" s="446"/>
      <c r="F37" s="446">
        <f t="shared" si="1"/>
        <v>0</v>
      </c>
    </row>
    <row r="38" spans="1:12">
      <c r="A38" s="415" t="s">
        <v>788</v>
      </c>
      <c r="B38" s="401" t="s">
        <v>790</v>
      </c>
      <c r="C38" s="403" t="s">
        <v>783</v>
      </c>
      <c r="D38" s="555">
        <v>5</v>
      </c>
      <c r="E38" s="446"/>
      <c r="F38" s="446">
        <f t="shared" si="1"/>
        <v>0</v>
      </c>
    </row>
    <row r="39" spans="1:12">
      <c r="A39" s="415" t="s">
        <v>791</v>
      </c>
      <c r="B39" s="401" t="s">
        <v>795</v>
      </c>
      <c r="C39" s="403" t="s">
        <v>794</v>
      </c>
      <c r="D39" s="555">
        <v>4</v>
      </c>
      <c r="E39" s="446"/>
      <c r="F39" s="446">
        <f t="shared" si="1"/>
        <v>0</v>
      </c>
    </row>
    <row r="40" spans="1:12">
      <c r="A40" s="415" t="s">
        <v>796</v>
      </c>
      <c r="B40" s="401" t="s">
        <v>798</v>
      </c>
      <c r="C40" s="403" t="s">
        <v>85</v>
      </c>
      <c r="D40" s="555">
        <v>1</v>
      </c>
      <c r="E40" s="446"/>
      <c r="F40" s="446">
        <f t="shared" si="1"/>
        <v>0</v>
      </c>
    </row>
    <row r="41" spans="1:12">
      <c r="A41" s="415" t="s">
        <v>799</v>
      </c>
      <c r="B41" s="401" t="s">
        <v>1058</v>
      </c>
      <c r="C41" s="403" t="s">
        <v>794</v>
      </c>
      <c r="D41" s="555">
        <v>55</v>
      </c>
      <c r="E41" s="446"/>
      <c r="F41" s="446">
        <f t="shared" si="1"/>
        <v>0</v>
      </c>
    </row>
    <row r="42" spans="1:12">
      <c r="A42" s="415" t="s">
        <v>801</v>
      </c>
      <c r="B42" s="401" t="s">
        <v>803</v>
      </c>
      <c r="C42" s="403" t="s">
        <v>67</v>
      </c>
      <c r="D42" s="555">
        <v>10</v>
      </c>
      <c r="E42" s="446"/>
      <c r="F42" s="446">
        <f t="shared" si="1"/>
        <v>0</v>
      </c>
    </row>
    <row r="43" spans="1:12">
      <c r="A43" s="415" t="s">
        <v>808</v>
      </c>
      <c r="B43" s="401" t="s">
        <v>809</v>
      </c>
      <c r="C43" s="403" t="s">
        <v>85</v>
      </c>
      <c r="D43" s="555">
        <v>1</v>
      </c>
      <c r="E43" s="446"/>
      <c r="F43" s="446">
        <f t="shared" si="1"/>
        <v>0</v>
      </c>
    </row>
    <row r="44" spans="1:12">
      <c r="A44" s="558"/>
      <c r="B44" s="512" t="s">
        <v>1187</v>
      </c>
      <c r="C44" s="513"/>
      <c r="D44" s="514"/>
      <c r="E44" s="515"/>
      <c r="F44" s="516">
        <f>SUM(F35:F43)</f>
        <v>0</v>
      </c>
    </row>
    <row r="45" spans="1:12">
      <c r="A45" s="558"/>
      <c r="B45" s="512" t="s">
        <v>1150</v>
      </c>
      <c r="C45" s="513"/>
      <c r="D45" s="514"/>
      <c r="E45" s="515"/>
      <c r="F45" s="516">
        <f>+F44+F29</f>
        <v>0</v>
      </c>
    </row>
    <row r="46" spans="1:12">
      <c r="A46" s="420"/>
      <c r="B46" s="420"/>
    </row>
    <row r="47" spans="1:12">
      <c r="A47" s="498" t="s">
        <v>1293</v>
      </c>
      <c r="B47" s="498"/>
      <c r="C47" s="499"/>
      <c r="D47" s="500"/>
      <c r="E47" s="501"/>
      <c r="F47" s="501"/>
      <c r="G47" s="375"/>
      <c r="H47" s="375"/>
      <c r="I47" s="375"/>
      <c r="J47" s="375"/>
      <c r="K47" s="375"/>
      <c r="L47" s="375"/>
    </row>
    <row r="48" spans="1:12">
      <c r="A48" s="420"/>
      <c r="B48" s="419"/>
      <c r="G48" s="375"/>
      <c r="H48" s="375"/>
      <c r="I48" s="375"/>
      <c r="J48" s="375"/>
      <c r="K48" s="375"/>
    </row>
    <row r="49" spans="1:11">
      <c r="A49" s="438" t="s">
        <v>0</v>
      </c>
      <c r="B49" s="439" t="s">
        <v>1155</v>
      </c>
      <c r="C49" s="438" t="s">
        <v>3</v>
      </c>
      <c r="D49" s="441" t="s">
        <v>839</v>
      </c>
      <c r="E49" s="441" t="s">
        <v>1097</v>
      </c>
      <c r="F49" s="441" t="s">
        <v>1098</v>
      </c>
      <c r="G49" s="375"/>
      <c r="H49" s="375"/>
      <c r="I49" s="375"/>
      <c r="J49" s="375"/>
      <c r="K49" s="375"/>
    </row>
    <row r="50" spans="1:11">
      <c r="A50" s="442" t="s">
        <v>931</v>
      </c>
      <c r="B50" s="443" t="s">
        <v>206</v>
      </c>
      <c r="C50" s="442"/>
      <c r="D50" s="472"/>
      <c r="E50" s="445"/>
      <c r="F50" s="445"/>
      <c r="G50" s="375"/>
      <c r="H50" s="375"/>
      <c r="I50" s="375"/>
      <c r="J50" s="375"/>
      <c r="K50" s="375"/>
    </row>
    <row r="51" spans="1:11">
      <c r="A51" s="442" t="s">
        <v>932</v>
      </c>
      <c r="B51" s="443" t="s">
        <v>208</v>
      </c>
      <c r="C51" s="442"/>
      <c r="D51" s="472"/>
      <c r="E51" s="445"/>
      <c r="F51" s="445"/>
      <c r="G51" s="375"/>
      <c r="H51" s="375"/>
      <c r="I51" s="375"/>
      <c r="J51" s="375"/>
      <c r="K51" s="375"/>
    </row>
    <row r="52" spans="1:11">
      <c r="A52" s="406" t="s">
        <v>210</v>
      </c>
      <c r="B52" s="401" t="s">
        <v>216</v>
      </c>
      <c r="C52" s="398" t="s">
        <v>147</v>
      </c>
      <c r="D52" s="554">
        <v>2</v>
      </c>
      <c r="E52" s="446"/>
      <c r="F52" s="446">
        <f>+E52*D52</f>
        <v>0</v>
      </c>
      <c r="G52" s="375"/>
      <c r="H52" s="375"/>
      <c r="I52" s="375"/>
      <c r="J52" s="375"/>
      <c r="K52" s="375"/>
    </row>
    <row r="53" spans="1:11">
      <c r="A53" s="442" t="s">
        <v>933</v>
      </c>
      <c r="B53" s="443" t="s">
        <v>220</v>
      </c>
      <c r="C53" s="442"/>
      <c r="D53" s="472"/>
      <c r="E53" s="445"/>
      <c r="F53" s="445"/>
      <c r="G53" s="375"/>
      <c r="H53" s="375"/>
      <c r="I53" s="375"/>
      <c r="J53" s="375"/>
      <c r="K53" s="375"/>
    </row>
    <row r="54" spans="1:11">
      <c r="A54" s="406" t="s">
        <v>934</v>
      </c>
      <c r="B54" s="401" t="s">
        <v>223</v>
      </c>
      <c r="C54" s="398" t="s">
        <v>224</v>
      </c>
      <c r="D54" s="554">
        <v>2</v>
      </c>
      <c r="E54" s="446"/>
      <c r="F54" s="446">
        <f t="shared" ref="F54:F71" si="2">+E54*D54</f>
        <v>0</v>
      </c>
      <c r="G54" s="375"/>
      <c r="H54" s="375"/>
      <c r="I54" s="375"/>
      <c r="J54" s="375"/>
      <c r="K54" s="375"/>
    </row>
    <row r="55" spans="1:11">
      <c r="A55" s="406" t="s">
        <v>937</v>
      </c>
      <c r="B55" s="401" t="s">
        <v>126</v>
      </c>
      <c r="C55" s="398" t="s">
        <v>67</v>
      </c>
      <c r="D55" s="554">
        <v>300</v>
      </c>
      <c r="E55" s="446"/>
      <c r="F55" s="446">
        <f t="shared" si="2"/>
        <v>0</v>
      </c>
      <c r="G55" s="375"/>
      <c r="H55" s="375"/>
      <c r="I55" s="375"/>
      <c r="J55" s="375"/>
      <c r="K55" s="375"/>
    </row>
    <row r="56" spans="1:11">
      <c r="A56" s="406" t="s">
        <v>938</v>
      </c>
      <c r="B56" s="401" t="s">
        <v>122</v>
      </c>
      <c r="C56" s="398" t="s">
        <v>123</v>
      </c>
      <c r="D56" s="554">
        <v>1</v>
      </c>
      <c r="E56" s="446"/>
      <c r="F56" s="446">
        <f t="shared" si="2"/>
        <v>0</v>
      </c>
      <c r="G56" s="375"/>
      <c r="H56" s="375"/>
      <c r="I56" s="375"/>
      <c r="J56" s="375"/>
      <c r="K56" s="375"/>
    </row>
    <row r="57" spans="1:11">
      <c r="A57" s="442" t="s">
        <v>939</v>
      </c>
      <c r="B57" s="443" t="s">
        <v>152</v>
      </c>
      <c r="C57" s="442"/>
      <c r="D57" s="472"/>
      <c r="E57" s="445"/>
      <c r="F57" s="445"/>
      <c r="G57" s="375"/>
      <c r="H57" s="375"/>
      <c r="I57" s="375"/>
      <c r="J57" s="375"/>
      <c r="K57" s="375"/>
    </row>
    <row r="58" spans="1:11">
      <c r="A58" s="406" t="s">
        <v>153</v>
      </c>
      <c r="B58" s="401" t="s">
        <v>1294</v>
      </c>
      <c r="C58" s="398" t="s">
        <v>155</v>
      </c>
      <c r="D58" s="554">
        <v>1</v>
      </c>
      <c r="E58" s="446"/>
      <c r="F58" s="446">
        <f t="shared" si="2"/>
        <v>0</v>
      </c>
      <c r="G58" s="375"/>
      <c r="H58" s="375"/>
      <c r="I58" s="375"/>
      <c r="J58" s="375"/>
      <c r="K58" s="375"/>
    </row>
    <row r="59" spans="1:11">
      <c r="A59" s="442" t="s">
        <v>940</v>
      </c>
      <c r="B59" s="443" t="s">
        <v>144</v>
      </c>
      <c r="C59" s="442"/>
      <c r="D59" s="472"/>
      <c r="E59" s="445"/>
      <c r="F59" s="445"/>
      <c r="G59" s="375"/>
      <c r="H59" s="375"/>
      <c r="I59" s="375"/>
      <c r="J59" s="375"/>
      <c r="K59" s="375"/>
    </row>
    <row r="60" spans="1:11">
      <c r="A60" s="406" t="s">
        <v>941</v>
      </c>
      <c r="B60" s="401" t="s">
        <v>150</v>
      </c>
      <c r="C60" s="398" t="s">
        <v>147</v>
      </c>
      <c r="D60" s="557">
        <v>16</v>
      </c>
      <c r="E60" s="446"/>
      <c r="F60" s="446">
        <f t="shared" si="2"/>
        <v>0</v>
      </c>
      <c r="G60" s="375"/>
      <c r="H60" s="375"/>
      <c r="I60" s="375"/>
      <c r="J60" s="375"/>
      <c r="K60" s="375"/>
    </row>
    <row r="61" spans="1:11">
      <c r="A61" s="406" t="s">
        <v>942</v>
      </c>
      <c r="B61" s="401" t="s">
        <v>148</v>
      </c>
      <c r="C61" s="398" t="s">
        <v>147</v>
      </c>
      <c r="D61" s="557">
        <v>6</v>
      </c>
      <c r="E61" s="446"/>
      <c r="F61" s="446">
        <f t="shared" si="2"/>
        <v>0</v>
      </c>
      <c r="G61" s="375"/>
      <c r="H61" s="375"/>
      <c r="I61" s="375"/>
      <c r="J61" s="375"/>
      <c r="K61" s="375"/>
    </row>
    <row r="62" spans="1:11">
      <c r="A62" s="442" t="s">
        <v>943</v>
      </c>
      <c r="B62" s="443" t="s">
        <v>162</v>
      </c>
      <c r="C62" s="442"/>
      <c r="D62" s="472"/>
      <c r="E62" s="445"/>
      <c r="F62" s="445"/>
      <c r="G62" s="375"/>
      <c r="H62" s="375"/>
      <c r="I62" s="375"/>
      <c r="J62" s="375"/>
      <c r="K62" s="375"/>
    </row>
    <row r="63" spans="1:11">
      <c r="A63" s="406" t="s">
        <v>944</v>
      </c>
      <c r="B63" s="401" t="s">
        <v>1212</v>
      </c>
      <c r="C63" s="398" t="s">
        <v>147</v>
      </c>
      <c r="D63" s="554">
        <v>36</v>
      </c>
      <c r="E63" s="446"/>
      <c r="F63" s="446">
        <f t="shared" si="2"/>
        <v>0</v>
      </c>
      <c r="G63" s="375"/>
      <c r="H63" s="375"/>
      <c r="I63" s="375"/>
      <c r="J63" s="375"/>
      <c r="K63" s="375"/>
    </row>
    <row r="64" spans="1:11">
      <c r="A64" s="442" t="s">
        <v>946</v>
      </c>
      <c r="B64" s="443" t="s">
        <v>171</v>
      </c>
      <c r="C64" s="442"/>
      <c r="D64" s="472"/>
      <c r="E64" s="445"/>
      <c r="F64" s="445"/>
      <c r="G64" s="375"/>
      <c r="H64" s="375"/>
      <c r="I64" s="375"/>
      <c r="J64" s="375"/>
      <c r="K64" s="375"/>
    </row>
    <row r="65" spans="1:11">
      <c r="A65" s="406" t="s">
        <v>951</v>
      </c>
      <c r="B65" s="401" t="s">
        <v>188</v>
      </c>
      <c r="C65" s="398" t="s">
        <v>147</v>
      </c>
      <c r="D65" s="554">
        <v>2</v>
      </c>
      <c r="E65" s="446"/>
      <c r="F65" s="446">
        <f t="shared" si="2"/>
        <v>0</v>
      </c>
      <c r="G65" s="375"/>
      <c r="H65" s="375"/>
      <c r="I65" s="375"/>
      <c r="J65" s="375"/>
      <c r="K65" s="375"/>
    </row>
    <row r="66" spans="1:11">
      <c r="A66" s="406" t="s">
        <v>952</v>
      </c>
      <c r="B66" s="401" t="s">
        <v>174</v>
      </c>
      <c r="C66" s="398" t="s">
        <v>147</v>
      </c>
      <c r="D66" s="554">
        <v>3</v>
      </c>
      <c r="E66" s="446"/>
      <c r="F66" s="446">
        <f t="shared" si="2"/>
        <v>0</v>
      </c>
      <c r="G66" s="375"/>
      <c r="H66" s="375"/>
      <c r="I66" s="375"/>
      <c r="J66" s="375"/>
      <c r="K66" s="375"/>
    </row>
    <row r="67" spans="1:11">
      <c r="A67" s="406" t="s">
        <v>953</v>
      </c>
      <c r="B67" s="401" t="s">
        <v>180</v>
      </c>
      <c r="C67" s="398" t="s">
        <v>155</v>
      </c>
      <c r="D67" s="554">
        <v>1</v>
      </c>
      <c r="E67" s="446"/>
      <c r="F67" s="446">
        <f t="shared" si="2"/>
        <v>0</v>
      </c>
      <c r="G67" s="375"/>
      <c r="H67" s="375"/>
      <c r="I67" s="375"/>
      <c r="J67" s="375"/>
      <c r="K67" s="375"/>
    </row>
    <row r="68" spans="1:11">
      <c r="A68" s="406" t="s">
        <v>959</v>
      </c>
      <c r="B68" s="401" t="s">
        <v>193</v>
      </c>
      <c r="C68" s="398" t="s">
        <v>147</v>
      </c>
      <c r="D68" s="554">
        <v>1</v>
      </c>
      <c r="E68" s="446"/>
      <c r="F68" s="446">
        <f>+E68*D68</f>
        <v>0</v>
      </c>
      <c r="G68" s="375"/>
      <c r="H68" s="375"/>
      <c r="I68" s="375"/>
      <c r="J68" s="375"/>
      <c r="K68" s="375"/>
    </row>
    <row r="69" spans="1:11">
      <c r="A69" s="406" t="s">
        <v>960</v>
      </c>
      <c r="B69" s="401" t="s">
        <v>196</v>
      </c>
      <c r="C69" s="398" t="s">
        <v>147</v>
      </c>
      <c r="D69" s="554">
        <v>1</v>
      </c>
      <c r="E69" s="446"/>
      <c r="F69" s="446">
        <f>+E69*D69</f>
        <v>0</v>
      </c>
      <c r="G69" s="375"/>
      <c r="H69" s="375"/>
      <c r="I69" s="375"/>
      <c r="J69" s="375"/>
      <c r="K69" s="375"/>
    </row>
    <row r="70" spans="1:11">
      <c r="A70" s="442" t="s">
        <v>963</v>
      </c>
      <c r="B70" s="443" t="s">
        <v>157</v>
      </c>
      <c r="C70" s="442"/>
      <c r="D70" s="472"/>
      <c r="E70" s="445"/>
      <c r="F70" s="445"/>
      <c r="G70" s="375"/>
      <c r="H70" s="375"/>
      <c r="I70" s="375"/>
      <c r="J70" s="375"/>
      <c r="K70" s="375"/>
    </row>
    <row r="71" spans="1:11">
      <c r="A71" s="406" t="s">
        <v>964</v>
      </c>
      <c r="B71" s="401" t="s">
        <v>159</v>
      </c>
      <c r="C71" s="398" t="s">
        <v>147</v>
      </c>
      <c r="D71" s="554">
        <v>1</v>
      </c>
      <c r="E71" s="446"/>
      <c r="F71" s="446">
        <f t="shared" si="2"/>
        <v>0</v>
      </c>
      <c r="G71" s="375"/>
      <c r="H71" s="375"/>
      <c r="I71" s="375"/>
      <c r="J71" s="375"/>
      <c r="K71" s="375"/>
    </row>
    <row r="72" spans="1:11">
      <c r="A72" s="558"/>
      <c r="B72" s="512" t="s">
        <v>1157</v>
      </c>
      <c r="C72" s="513"/>
      <c r="D72" s="514"/>
      <c r="E72" s="515"/>
      <c r="F72" s="516">
        <f>SUM(F52:F71)</f>
        <v>0</v>
      </c>
      <c r="G72" s="375"/>
      <c r="H72" s="375"/>
      <c r="I72" s="375"/>
      <c r="J72" s="375"/>
      <c r="K72" s="375"/>
    </row>
    <row r="73" spans="1:11">
      <c r="A73" s="418"/>
      <c r="B73" s="420"/>
      <c r="G73" s="375"/>
      <c r="H73" s="375"/>
      <c r="I73" s="375"/>
      <c r="J73" s="375"/>
      <c r="K73" s="375"/>
    </row>
    <row r="74" spans="1:11">
      <c r="A74" s="503"/>
      <c r="B74" s="559" t="s">
        <v>1194</v>
      </c>
      <c r="C74" s="562"/>
      <c r="D74" s="563"/>
      <c r="E74" s="559"/>
      <c r="F74" s="516">
        <f>+F72+F45</f>
        <v>0</v>
      </c>
      <c r="G74" s="375"/>
      <c r="H74" s="375"/>
      <c r="I74" s="375"/>
      <c r="J74" s="375"/>
      <c r="K74" s="375"/>
    </row>
    <row r="75" spans="1:11">
      <c r="A75" s="552"/>
      <c r="B75" s="559" t="s">
        <v>1195</v>
      </c>
      <c r="C75" s="562"/>
      <c r="D75" s="563"/>
      <c r="E75" s="559"/>
      <c r="F75" s="516">
        <f>+F74*0.18</f>
        <v>0</v>
      </c>
      <c r="G75" s="375"/>
      <c r="H75" s="375"/>
      <c r="I75" s="375"/>
      <c r="J75" s="375"/>
      <c r="K75" s="375"/>
    </row>
    <row r="76" spans="1:11">
      <c r="A76" s="394"/>
      <c r="B76" s="559" t="s">
        <v>1196</v>
      </c>
      <c r="C76" s="562"/>
      <c r="D76" s="563"/>
      <c r="E76" s="559"/>
      <c r="F76" s="516">
        <f>SUM(F74:F75)</f>
        <v>0</v>
      </c>
      <c r="G76" s="375"/>
      <c r="H76" s="375"/>
      <c r="I76" s="375"/>
      <c r="J76" s="375"/>
      <c r="K76" s="375"/>
    </row>
    <row r="77" spans="1:11">
      <c r="A77" s="420"/>
      <c r="B77" s="420"/>
      <c r="G77" s="375"/>
      <c r="H77" s="375"/>
      <c r="I77" s="375"/>
      <c r="J77" s="375"/>
      <c r="K77" s="375"/>
    </row>
    <row r="78" spans="1:11">
      <c r="A78" s="420"/>
      <c r="B78" s="420"/>
      <c r="G78" s="375"/>
      <c r="H78" s="375"/>
      <c r="I78" s="375"/>
      <c r="J78" s="375"/>
      <c r="K78" s="375"/>
    </row>
    <row r="79" spans="1:11">
      <c r="A79" s="420"/>
      <c r="B79" s="420"/>
      <c r="G79" s="375"/>
      <c r="H79" s="375"/>
      <c r="I79" s="375"/>
      <c r="J79" s="375"/>
      <c r="K79" s="375"/>
    </row>
    <row r="80" spans="1:11">
      <c r="A80" s="420"/>
      <c r="B80" s="420"/>
      <c r="F80" s="507" t="s">
        <v>1099</v>
      </c>
      <c r="G80" s="375"/>
      <c r="H80" s="375"/>
      <c r="I80" s="375"/>
      <c r="J80" s="375"/>
      <c r="K80" s="375"/>
    </row>
  </sheetData>
  <mergeCells count="1">
    <mergeCell ref="A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0"/>
  <sheetViews>
    <sheetView workbookViewId="0">
      <selection activeCell="I17" sqref="I17"/>
    </sheetView>
  </sheetViews>
  <sheetFormatPr defaultColWidth="11.42578125" defaultRowHeight="13.9"/>
  <cols>
    <col min="1" max="4" width="11.42578125" style="11"/>
    <col min="5" max="5" width="17.7109375" style="11" customWidth="1"/>
    <col min="6" max="6" width="14.28515625" style="11" bestFit="1" customWidth="1"/>
    <col min="7" max="7" width="11.140625" style="11" bestFit="1" customWidth="1"/>
    <col min="8" max="8" width="14.5703125" style="11" bestFit="1" customWidth="1"/>
    <col min="9" max="9" width="16" style="11" customWidth="1"/>
    <col min="10" max="16384" width="11.42578125" style="11"/>
  </cols>
  <sheetData>
    <row r="2" spans="2:9" ht="14.45" thickBot="1">
      <c r="D2" s="202" t="s">
        <v>1295</v>
      </c>
      <c r="E2" s="203"/>
      <c r="F2" s="203"/>
    </row>
    <row r="3" spans="2:9" ht="15" thickTop="1" thickBot="1"/>
    <row r="4" spans="2:9" ht="15" thickTop="1" thickBot="1">
      <c r="B4" s="196"/>
      <c r="C4" s="197" t="s">
        <v>1296</v>
      </c>
      <c r="D4" s="198"/>
      <c r="E4" s="198"/>
      <c r="F4" s="199" t="s">
        <v>1297</v>
      </c>
      <c r="G4" s="200" t="s">
        <v>1298</v>
      </c>
      <c r="H4" s="200" t="s">
        <v>1299</v>
      </c>
      <c r="I4" s="201" t="s">
        <v>1300</v>
      </c>
    </row>
    <row r="5" spans="2:9" ht="14.45" thickTop="1">
      <c r="B5" s="158"/>
      <c r="C5" s="159"/>
      <c r="D5" s="160"/>
      <c r="E5" s="160"/>
      <c r="F5" s="161"/>
      <c r="G5" s="162"/>
      <c r="H5" s="162"/>
      <c r="I5" s="176"/>
    </row>
    <row r="6" spans="2:9">
      <c r="B6" s="163"/>
      <c r="C6" s="164" t="s">
        <v>1301</v>
      </c>
      <c r="D6" s="165"/>
      <c r="E6" s="165"/>
      <c r="F6" s="187" t="s">
        <v>1302</v>
      </c>
      <c r="G6" s="194">
        <v>1</v>
      </c>
      <c r="H6" s="157">
        <f>+'1 Lycée Ste Famille KANYINYA'!F328</f>
        <v>0</v>
      </c>
      <c r="I6" s="177">
        <f>+H6*G6</f>
        <v>0</v>
      </c>
    </row>
    <row r="7" spans="2:9">
      <c r="B7" s="163"/>
      <c r="C7" s="164" t="s">
        <v>1303</v>
      </c>
      <c r="D7" s="165"/>
      <c r="E7" s="165"/>
      <c r="F7" s="187" t="s">
        <v>1302</v>
      </c>
      <c r="G7" s="194">
        <v>1</v>
      </c>
      <c r="H7" s="157">
        <f>+'2 Lycée KIRUNDO'!F243</f>
        <v>0</v>
      </c>
      <c r="I7" s="177">
        <f>+H7*G7</f>
        <v>0</v>
      </c>
    </row>
    <row r="8" spans="2:9">
      <c r="B8" s="163"/>
      <c r="C8" s="164" t="s">
        <v>1304</v>
      </c>
      <c r="D8" s="165"/>
      <c r="E8" s="165"/>
      <c r="F8" s="187" t="s">
        <v>1302</v>
      </c>
      <c r="G8" s="194">
        <v>1</v>
      </c>
      <c r="H8" s="157">
        <f>+'3 Lycée COMM BUGABIRA'!F146</f>
        <v>0</v>
      </c>
      <c r="I8" s="177">
        <f>+H8*G8</f>
        <v>0</v>
      </c>
    </row>
    <row r="9" spans="2:9">
      <c r="B9" s="163"/>
      <c r="C9" s="164" t="s">
        <v>1305</v>
      </c>
      <c r="D9" s="165"/>
      <c r="E9" s="165"/>
      <c r="F9" s="187" t="s">
        <v>1302</v>
      </c>
      <c r="G9" s="194">
        <v>1</v>
      </c>
      <c r="H9" s="157">
        <f>+'4 Lycée RUKURAMIGABO'!F133</f>
        <v>0</v>
      </c>
      <c r="I9" s="177">
        <f t="shared" ref="I9:I11" si="0">+H9*G9</f>
        <v>0</v>
      </c>
    </row>
    <row r="10" spans="2:9">
      <c r="B10" s="163"/>
      <c r="C10" s="164" t="s">
        <v>1306</v>
      </c>
      <c r="D10" s="165"/>
      <c r="E10" s="165"/>
      <c r="F10" s="187" t="s">
        <v>1302</v>
      </c>
      <c r="G10" s="194">
        <v>1</v>
      </c>
      <c r="H10" s="157">
        <f>+'5 Lycée KIGOZI'!F148</f>
        <v>0</v>
      </c>
      <c r="I10" s="177">
        <f t="shared" si="0"/>
        <v>0</v>
      </c>
    </row>
    <row r="11" spans="2:9">
      <c r="B11" s="163"/>
      <c r="C11" s="164" t="s">
        <v>1307</v>
      </c>
      <c r="D11" s="165"/>
      <c r="E11" s="165"/>
      <c r="F11" s="187" t="s">
        <v>1302</v>
      </c>
      <c r="G11" s="194">
        <v>1</v>
      </c>
      <c r="H11" s="157">
        <f>+'6 Lycée MWENYA'!F169</f>
        <v>0</v>
      </c>
      <c r="I11" s="177">
        <f t="shared" si="0"/>
        <v>0</v>
      </c>
    </row>
    <row r="12" spans="2:9">
      <c r="B12" s="163"/>
      <c r="C12" s="164" t="s">
        <v>1308</v>
      </c>
      <c r="D12" s="165"/>
      <c r="E12" s="165"/>
      <c r="F12" s="187" t="s">
        <v>1302</v>
      </c>
      <c r="G12" s="195">
        <v>1</v>
      </c>
      <c r="H12" s="157">
        <f>+'7 Lycée COMM NTEGA'!F142</f>
        <v>0</v>
      </c>
      <c r="I12" s="177">
        <f>+H12*G12</f>
        <v>0</v>
      </c>
    </row>
    <row r="13" spans="2:9">
      <c r="B13" s="163"/>
      <c r="C13" s="164" t="s">
        <v>1309</v>
      </c>
      <c r="D13" s="165"/>
      <c r="E13" s="165"/>
      <c r="F13" s="187" t="s">
        <v>1302</v>
      </c>
      <c r="G13" s="195">
        <v>1</v>
      </c>
      <c r="H13" s="157">
        <f>+'8 Lycée COMM CUMVA'!F76</f>
        <v>0</v>
      </c>
      <c r="I13" s="177">
        <f t="shared" ref="I13:I15" si="1">+H13*G13</f>
        <v>0</v>
      </c>
    </row>
    <row r="14" spans="2:9">
      <c r="B14" s="163"/>
      <c r="C14" s="164" t="s">
        <v>1310</v>
      </c>
      <c r="D14" s="165"/>
      <c r="E14" s="165"/>
      <c r="F14" s="187" t="s">
        <v>1302</v>
      </c>
      <c r="G14" s="195">
        <v>1</v>
      </c>
      <c r="H14" s="157">
        <f>+'9 Lycée COMM VUMBI'!F140</f>
        <v>0</v>
      </c>
      <c r="I14" s="177">
        <f t="shared" si="1"/>
        <v>0</v>
      </c>
    </row>
    <row r="15" spans="2:9">
      <c r="B15" s="163"/>
      <c r="C15" s="164" t="s">
        <v>1311</v>
      </c>
      <c r="D15" s="165"/>
      <c r="E15" s="165"/>
      <c r="F15" s="187" t="s">
        <v>1302</v>
      </c>
      <c r="G15" s="195">
        <v>1</v>
      </c>
      <c r="H15" s="157">
        <f>+'10 Lycée INTEGRITE VUMBI '!F74</f>
        <v>0</v>
      </c>
      <c r="I15" s="177">
        <f t="shared" si="1"/>
        <v>0</v>
      </c>
    </row>
    <row r="16" spans="2:9" ht="14.45" thickBot="1">
      <c r="B16" s="166"/>
      <c r="C16" s="167"/>
      <c r="D16" s="168"/>
      <c r="E16" s="168"/>
      <c r="F16" s="169"/>
      <c r="G16" s="170"/>
      <c r="H16" s="170"/>
      <c r="I16" s="171"/>
    </row>
    <row r="17" spans="1:9">
      <c r="A17" s="181"/>
      <c r="B17" s="182"/>
      <c r="C17" s="172" t="s">
        <v>1312</v>
      </c>
      <c r="D17" s="173"/>
      <c r="E17" s="173"/>
      <c r="F17" s="191"/>
      <c r="G17" s="191"/>
      <c r="H17" s="188"/>
      <c r="I17" s="178">
        <f>SUM(I6:I16)</f>
        <v>0</v>
      </c>
    </row>
    <row r="18" spans="1:9">
      <c r="A18" s="181"/>
      <c r="B18" s="180"/>
      <c r="C18" s="174" t="s">
        <v>1313</v>
      </c>
      <c r="D18" s="175"/>
      <c r="E18" s="175"/>
      <c r="F18" s="192"/>
      <c r="G18" s="192"/>
      <c r="H18" s="189"/>
      <c r="I18" s="179">
        <f>+I17*0.18</f>
        <v>0</v>
      </c>
    </row>
    <row r="19" spans="1:9" ht="14.45" thickBot="1">
      <c r="A19" s="181"/>
      <c r="B19" s="186"/>
      <c r="C19" s="183" t="s">
        <v>1314</v>
      </c>
      <c r="D19" s="184"/>
      <c r="E19" s="184"/>
      <c r="F19" s="193"/>
      <c r="G19" s="193"/>
      <c r="H19" s="190"/>
      <c r="I19" s="185">
        <f>+I18+I17</f>
        <v>0</v>
      </c>
    </row>
    <row r="20" spans="1:9" ht="14.4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49AD-F7EF-470C-8505-974B5769B342}">
  <dimension ref="A2:O295"/>
  <sheetViews>
    <sheetView zoomScaleNormal="100" workbookViewId="0">
      <selection activeCell="A54" sqref="A54"/>
    </sheetView>
  </sheetViews>
  <sheetFormatPr defaultColWidth="11.42578125" defaultRowHeight="14.45"/>
  <cols>
    <col min="1" max="1" width="17.28515625" style="389" bestFit="1" customWidth="1"/>
    <col min="2" max="2" width="61.7109375" style="435" customWidth="1"/>
    <col min="3" max="3" width="8.140625" style="435" customWidth="1"/>
    <col min="4" max="4" width="8.28515625" style="436" customWidth="1"/>
    <col min="5" max="5" width="16.28515625" style="437" customWidth="1"/>
    <col min="6" max="6" width="11.140625" customWidth="1"/>
    <col min="7" max="7" width="11.7109375" customWidth="1"/>
  </cols>
  <sheetData>
    <row r="2" spans="1:9" ht="28.5" customHeight="1">
      <c r="A2" s="577" t="s">
        <v>838</v>
      </c>
      <c r="B2" s="578"/>
      <c r="C2" s="578"/>
      <c r="D2" s="578"/>
      <c r="E2" s="578"/>
    </row>
    <row r="3" spans="1:9">
      <c r="C3" s="390"/>
    </row>
    <row r="4" spans="1:9" ht="25.15" customHeight="1">
      <c r="A4" s="438" t="s">
        <v>0</v>
      </c>
      <c r="B4" s="439" t="s">
        <v>2</v>
      </c>
      <c r="C4" s="438" t="s">
        <v>3</v>
      </c>
      <c r="D4" s="440" t="s">
        <v>839</v>
      </c>
      <c r="E4" s="575" t="s">
        <v>840</v>
      </c>
    </row>
    <row r="5" spans="1:9">
      <c r="A5" s="442" t="s">
        <v>715</v>
      </c>
      <c r="B5" s="443" t="s">
        <v>716</v>
      </c>
      <c r="C5" s="442"/>
      <c r="D5" s="444"/>
      <c r="E5" s="445"/>
    </row>
    <row r="6" spans="1:9">
      <c r="A6" s="398" t="s">
        <v>717</v>
      </c>
      <c r="B6" s="399" t="s">
        <v>841</v>
      </c>
      <c r="C6" s="398" t="s">
        <v>123</v>
      </c>
      <c r="D6" s="400">
        <v>1</v>
      </c>
      <c r="E6" s="446"/>
      <c r="F6" s="385"/>
      <c r="G6" s="385"/>
      <c r="H6" s="385"/>
      <c r="I6" s="385"/>
    </row>
    <row r="7" spans="1:9">
      <c r="A7" s="398" t="s">
        <v>717</v>
      </c>
      <c r="B7" s="399" t="s">
        <v>842</v>
      </c>
      <c r="C7" s="398" t="s">
        <v>123</v>
      </c>
      <c r="D7" s="400">
        <v>1</v>
      </c>
      <c r="E7" s="446"/>
      <c r="F7" s="385"/>
      <c r="G7" s="385"/>
      <c r="H7" s="385"/>
      <c r="I7" s="385"/>
    </row>
    <row r="8" spans="1:9">
      <c r="A8" s="398" t="s">
        <v>717</v>
      </c>
      <c r="B8" s="399" t="s">
        <v>843</v>
      </c>
      <c r="C8" s="398" t="s">
        <v>123</v>
      </c>
      <c r="D8" s="400">
        <v>1</v>
      </c>
      <c r="E8" s="446"/>
      <c r="F8" s="385"/>
      <c r="G8" s="385"/>
      <c r="H8" s="385"/>
      <c r="I8" s="385"/>
    </row>
    <row r="9" spans="1:9">
      <c r="A9" s="398" t="s">
        <v>717</v>
      </c>
      <c r="B9" s="399" t="s">
        <v>844</v>
      </c>
      <c r="C9" s="398" t="s">
        <v>123</v>
      </c>
      <c r="D9" s="400">
        <v>1</v>
      </c>
      <c r="E9" s="446"/>
      <c r="F9" s="385"/>
      <c r="G9" s="385"/>
      <c r="H9" s="385"/>
      <c r="I9" s="385"/>
    </row>
    <row r="10" spans="1:9">
      <c r="A10" s="398" t="s">
        <v>717</v>
      </c>
      <c r="B10" s="399" t="s">
        <v>845</v>
      </c>
      <c r="C10" s="398" t="s">
        <v>123</v>
      </c>
      <c r="D10" s="400">
        <v>1</v>
      </c>
      <c r="E10" s="446"/>
      <c r="F10" s="385"/>
      <c r="G10" s="385"/>
      <c r="H10" s="385"/>
      <c r="I10" s="385"/>
    </row>
    <row r="11" spans="1:9">
      <c r="A11" s="398" t="s">
        <v>717</v>
      </c>
      <c r="B11" s="399" t="s">
        <v>846</v>
      </c>
      <c r="C11" s="398" t="s">
        <v>123</v>
      </c>
      <c r="D11" s="400">
        <v>1</v>
      </c>
      <c r="E11" s="446"/>
      <c r="F11" s="385"/>
      <c r="G11" s="385"/>
      <c r="H11" s="385"/>
      <c r="I11" s="385"/>
    </row>
    <row r="12" spans="1:9">
      <c r="A12" s="398" t="s">
        <v>717</v>
      </c>
      <c r="B12" s="399" t="s">
        <v>847</v>
      </c>
      <c r="C12" s="398" t="s">
        <v>123</v>
      </c>
      <c r="D12" s="400">
        <v>1</v>
      </c>
      <c r="E12" s="446"/>
      <c r="F12" s="385"/>
      <c r="G12" s="385"/>
      <c r="H12" s="385"/>
      <c r="I12" s="385"/>
    </row>
    <row r="13" spans="1:9">
      <c r="A13" s="398" t="s">
        <v>717</v>
      </c>
      <c r="B13" s="399" t="s">
        <v>848</v>
      </c>
      <c r="C13" s="398" t="s">
        <v>123</v>
      </c>
      <c r="D13" s="400">
        <v>1</v>
      </c>
      <c r="E13" s="446"/>
      <c r="F13" s="385"/>
      <c r="G13" s="385"/>
      <c r="H13" s="385"/>
      <c r="I13" s="385"/>
    </row>
    <row r="14" spans="1:9">
      <c r="A14" s="398" t="s">
        <v>717</v>
      </c>
      <c r="B14" s="399" t="s">
        <v>849</v>
      </c>
      <c r="C14" s="398" t="s">
        <v>123</v>
      </c>
      <c r="D14" s="400">
        <v>1</v>
      </c>
      <c r="E14" s="446"/>
      <c r="F14" s="385"/>
      <c r="G14" s="385"/>
      <c r="H14" s="385"/>
      <c r="I14" s="385"/>
    </row>
    <row r="15" spans="1:9">
      <c r="A15" s="398" t="s">
        <v>717</v>
      </c>
      <c r="B15" s="399" t="s">
        <v>850</v>
      </c>
      <c r="C15" s="398" t="s">
        <v>123</v>
      </c>
      <c r="D15" s="400">
        <v>1</v>
      </c>
      <c r="E15" s="446"/>
      <c r="F15" s="385"/>
      <c r="G15" s="385"/>
      <c r="H15" s="385"/>
      <c r="I15" s="385"/>
    </row>
    <row r="16" spans="1:9" ht="27.6">
      <c r="A16" s="398" t="s">
        <v>734</v>
      </c>
      <c r="B16" s="401" t="s">
        <v>851</v>
      </c>
      <c r="C16" s="398" t="s">
        <v>852</v>
      </c>
      <c r="D16" s="400">
        <v>1</v>
      </c>
      <c r="E16" s="447"/>
    </row>
    <row r="17" spans="1:5">
      <c r="A17" s="398" t="s">
        <v>726</v>
      </c>
      <c r="B17" s="401" t="s">
        <v>741</v>
      </c>
      <c r="C17" s="398" t="s">
        <v>140</v>
      </c>
      <c r="D17" s="400">
        <v>1</v>
      </c>
      <c r="E17" s="447"/>
    </row>
    <row r="18" spans="1:5" s="220" customFormat="1">
      <c r="A18" s="448" t="s">
        <v>723</v>
      </c>
      <c r="B18" s="449" t="s">
        <v>736</v>
      </c>
      <c r="C18" s="448" t="s">
        <v>140</v>
      </c>
      <c r="D18" s="400">
        <v>1</v>
      </c>
      <c r="E18" s="447"/>
    </row>
    <row r="19" spans="1:5" s="220" customFormat="1">
      <c r="A19" s="448" t="s">
        <v>747</v>
      </c>
      <c r="B19" s="449" t="s">
        <v>730</v>
      </c>
      <c r="C19" s="448" t="s">
        <v>140</v>
      </c>
      <c r="D19" s="400">
        <v>1</v>
      </c>
      <c r="E19" s="447"/>
    </row>
    <row r="20" spans="1:5" s="220" customFormat="1">
      <c r="A20" s="448" t="s">
        <v>743</v>
      </c>
      <c r="B20" s="449" t="s">
        <v>725</v>
      </c>
      <c r="C20" s="448" t="s">
        <v>140</v>
      </c>
      <c r="D20" s="400">
        <v>1</v>
      </c>
      <c r="E20" s="447"/>
    </row>
    <row r="21" spans="1:5" s="220" customFormat="1" ht="27.6">
      <c r="A21" s="448" t="s">
        <v>745</v>
      </c>
      <c r="B21" s="449" t="s">
        <v>740</v>
      </c>
      <c r="C21" s="448" t="s">
        <v>853</v>
      </c>
      <c r="D21" s="450">
        <v>1</v>
      </c>
      <c r="E21" s="451"/>
    </row>
    <row r="22" spans="1:5" s="220" customFormat="1" ht="15">
      <c r="A22" s="448" t="s">
        <v>752</v>
      </c>
      <c r="B22" s="449" t="s">
        <v>739</v>
      </c>
      <c r="C22" s="448" t="s">
        <v>853</v>
      </c>
      <c r="D22" s="400">
        <v>1</v>
      </c>
      <c r="E22" s="447"/>
    </row>
    <row r="23" spans="1:5" s="220" customFormat="1">
      <c r="A23" s="448" t="s">
        <v>749</v>
      </c>
      <c r="B23" s="452" t="s">
        <v>854</v>
      </c>
      <c r="C23" s="448" t="s">
        <v>346</v>
      </c>
      <c r="D23" s="400">
        <v>1</v>
      </c>
      <c r="E23" s="447"/>
    </row>
    <row r="24" spans="1:5" s="220" customFormat="1">
      <c r="A24" s="448" t="s">
        <v>724</v>
      </c>
      <c r="B24" s="452" t="s">
        <v>855</v>
      </c>
      <c r="C24" s="448" t="s">
        <v>346</v>
      </c>
      <c r="D24" s="400">
        <v>1</v>
      </c>
      <c r="E24" s="447"/>
    </row>
    <row r="25" spans="1:5" s="220" customFormat="1">
      <c r="A25" s="448" t="s">
        <v>727</v>
      </c>
      <c r="B25" s="449" t="s">
        <v>856</v>
      </c>
      <c r="C25" s="448" t="s">
        <v>123</v>
      </c>
      <c r="D25" s="400">
        <v>1</v>
      </c>
      <c r="E25" s="447"/>
    </row>
    <row r="26" spans="1:5" s="220" customFormat="1" ht="27.6">
      <c r="A26" s="448" t="s">
        <v>729</v>
      </c>
      <c r="B26" s="449" t="s">
        <v>746</v>
      </c>
      <c r="C26" s="448" t="s">
        <v>67</v>
      </c>
      <c r="D26" s="400">
        <v>1</v>
      </c>
      <c r="E26" s="447"/>
    </row>
    <row r="27" spans="1:5" s="220" customFormat="1" ht="15">
      <c r="A27" s="448" t="s">
        <v>732</v>
      </c>
      <c r="B27" s="449" t="s">
        <v>753</v>
      </c>
      <c r="C27" s="448" t="s">
        <v>853</v>
      </c>
      <c r="D27" s="400">
        <v>1</v>
      </c>
      <c r="E27" s="447"/>
    </row>
    <row r="28" spans="1:5" s="220" customFormat="1" ht="15">
      <c r="A28" s="448" t="s">
        <v>735</v>
      </c>
      <c r="B28" s="449" t="s">
        <v>750</v>
      </c>
      <c r="C28" s="448" t="s">
        <v>853</v>
      </c>
      <c r="D28" s="400">
        <v>1</v>
      </c>
      <c r="E28" s="447"/>
    </row>
    <row r="29" spans="1:5" s="220" customFormat="1">
      <c r="A29" s="448" t="s">
        <v>737</v>
      </c>
      <c r="B29" s="449" t="s">
        <v>738</v>
      </c>
      <c r="C29" s="448" t="s">
        <v>140</v>
      </c>
      <c r="D29" s="400">
        <v>1</v>
      </c>
      <c r="E29" s="447"/>
    </row>
    <row r="30" spans="1:5" s="220" customFormat="1">
      <c r="A30" s="448" t="s">
        <v>857</v>
      </c>
      <c r="B30" s="449" t="s">
        <v>728</v>
      </c>
      <c r="C30" s="448" t="s">
        <v>140</v>
      </c>
      <c r="D30" s="400">
        <v>1</v>
      </c>
      <c r="E30" s="447"/>
    </row>
    <row r="31" spans="1:5" s="220" customFormat="1" ht="15">
      <c r="A31" s="448" t="s">
        <v>858</v>
      </c>
      <c r="B31" s="452" t="s">
        <v>754</v>
      </c>
      <c r="C31" s="448" t="s">
        <v>853</v>
      </c>
      <c r="D31" s="400">
        <v>1</v>
      </c>
      <c r="E31" s="447"/>
    </row>
    <row r="32" spans="1:5" s="220" customFormat="1" ht="36.75" customHeight="1">
      <c r="A32" s="448" t="s">
        <v>859</v>
      </c>
      <c r="B32" s="449" t="s">
        <v>733</v>
      </c>
      <c r="C32" s="448" t="s">
        <v>140</v>
      </c>
      <c r="D32" s="400">
        <v>1</v>
      </c>
      <c r="E32" s="447"/>
    </row>
    <row r="33" spans="1:5">
      <c r="A33" s="442" t="s">
        <v>860</v>
      </c>
      <c r="B33" s="443" t="s">
        <v>861</v>
      </c>
      <c r="C33" s="442"/>
      <c r="D33" s="444"/>
      <c r="E33" s="445"/>
    </row>
    <row r="34" spans="1:5" ht="27.6">
      <c r="A34" s="453" t="s">
        <v>694</v>
      </c>
      <c r="B34" s="449" t="s">
        <v>695</v>
      </c>
      <c r="C34" s="448" t="s">
        <v>862</v>
      </c>
      <c r="D34" s="400">
        <v>1</v>
      </c>
      <c r="E34" s="447"/>
    </row>
    <row r="35" spans="1:5" s="220" customFormat="1">
      <c r="A35" s="453" t="s">
        <v>863</v>
      </c>
      <c r="B35" s="449" t="s">
        <v>700</v>
      </c>
      <c r="C35" s="448" t="s">
        <v>67</v>
      </c>
      <c r="D35" s="400">
        <v>1</v>
      </c>
      <c r="E35" s="447"/>
    </row>
    <row r="36" spans="1:5">
      <c r="A36" s="442" t="s">
        <v>53</v>
      </c>
      <c r="B36" s="443" t="s">
        <v>54</v>
      </c>
      <c r="C36" s="442"/>
      <c r="D36" s="444"/>
      <c r="E36" s="445"/>
    </row>
    <row r="37" spans="1:5" ht="15">
      <c r="A37" s="404" t="s">
        <v>56</v>
      </c>
      <c r="B37" s="401" t="s">
        <v>57</v>
      </c>
      <c r="C37" s="398" t="s">
        <v>864</v>
      </c>
      <c r="D37" s="400">
        <v>1</v>
      </c>
      <c r="E37" s="447"/>
    </row>
    <row r="38" spans="1:5" ht="15">
      <c r="A38" s="404" t="s">
        <v>59</v>
      </c>
      <c r="B38" s="401" t="s">
        <v>60</v>
      </c>
      <c r="C38" s="398" t="s">
        <v>864</v>
      </c>
      <c r="D38" s="400">
        <v>1</v>
      </c>
      <c r="E38" s="447"/>
    </row>
    <row r="39" spans="1:5" ht="15">
      <c r="A39" s="404" t="s">
        <v>62</v>
      </c>
      <c r="B39" s="401" t="s">
        <v>63</v>
      </c>
      <c r="C39" s="398" t="s">
        <v>864</v>
      </c>
      <c r="D39" s="400">
        <v>1</v>
      </c>
      <c r="E39" s="447"/>
    </row>
    <row r="40" spans="1:5">
      <c r="A40" s="404" t="s">
        <v>65</v>
      </c>
      <c r="B40" s="401" t="s">
        <v>66</v>
      </c>
      <c r="C40" s="398" t="s">
        <v>67</v>
      </c>
      <c r="D40" s="400">
        <v>1</v>
      </c>
      <c r="E40" s="447"/>
    </row>
    <row r="41" spans="1:5" ht="15">
      <c r="A41" s="404" t="s">
        <v>69</v>
      </c>
      <c r="B41" s="401" t="s">
        <v>70</v>
      </c>
      <c r="C41" s="398" t="s">
        <v>864</v>
      </c>
      <c r="D41" s="400">
        <v>1</v>
      </c>
      <c r="E41" s="447"/>
    </row>
    <row r="42" spans="1:5">
      <c r="A42" s="442" t="s">
        <v>34</v>
      </c>
      <c r="B42" s="443" t="s">
        <v>35</v>
      </c>
      <c r="C42" s="442"/>
      <c r="D42" s="444"/>
      <c r="E42" s="445"/>
    </row>
    <row r="43" spans="1:5" ht="15">
      <c r="A43" s="398" t="s">
        <v>37</v>
      </c>
      <c r="B43" s="401" t="s">
        <v>865</v>
      </c>
      <c r="C43" s="398" t="s">
        <v>864</v>
      </c>
      <c r="D43" s="400">
        <v>1</v>
      </c>
      <c r="E43" s="447"/>
    </row>
    <row r="44" spans="1:5" ht="15">
      <c r="A44" s="398" t="s">
        <v>41</v>
      </c>
      <c r="B44" s="401" t="s">
        <v>42</v>
      </c>
      <c r="C44" s="398" t="s">
        <v>864</v>
      </c>
      <c r="D44" s="400">
        <v>1</v>
      </c>
      <c r="E44" s="447"/>
    </row>
    <row r="45" spans="1:5" ht="15">
      <c r="A45" s="398" t="s">
        <v>44</v>
      </c>
      <c r="B45" s="401" t="s">
        <v>866</v>
      </c>
      <c r="C45" s="398" t="s">
        <v>864</v>
      </c>
      <c r="D45" s="400">
        <v>1</v>
      </c>
      <c r="E45" s="447"/>
    </row>
    <row r="46" spans="1:5" ht="15">
      <c r="A46" s="398" t="s">
        <v>47</v>
      </c>
      <c r="B46" s="401" t="s">
        <v>48</v>
      </c>
      <c r="C46" s="398" t="s">
        <v>864</v>
      </c>
      <c r="D46" s="400">
        <v>1</v>
      </c>
      <c r="E46" s="447"/>
    </row>
    <row r="47" spans="1:5" ht="15">
      <c r="A47" s="398" t="s">
        <v>50</v>
      </c>
      <c r="B47" s="408" t="s">
        <v>867</v>
      </c>
      <c r="C47" s="398" t="s">
        <v>864</v>
      </c>
      <c r="D47" s="400">
        <v>1</v>
      </c>
      <c r="E47" s="447"/>
    </row>
    <row r="48" spans="1:5">
      <c r="A48" s="442" t="s">
        <v>390</v>
      </c>
      <c r="B48" s="443" t="s">
        <v>391</v>
      </c>
      <c r="C48" s="442"/>
      <c r="D48" s="444"/>
      <c r="E48" s="445"/>
    </row>
    <row r="49" spans="1:5" ht="15">
      <c r="A49" s="398" t="s">
        <v>392</v>
      </c>
      <c r="B49" s="401" t="s">
        <v>868</v>
      </c>
      <c r="C49" s="398" t="s">
        <v>852</v>
      </c>
      <c r="D49" s="400">
        <v>1</v>
      </c>
      <c r="E49" s="447"/>
    </row>
    <row r="50" spans="1:5" ht="15">
      <c r="A50" s="398" t="s">
        <v>395</v>
      </c>
      <c r="B50" s="401" t="s">
        <v>397</v>
      </c>
      <c r="C50" s="398" t="s">
        <v>864</v>
      </c>
      <c r="D50" s="400">
        <v>1</v>
      </c>
      <c r="E50" s="447"/>
    </row>
    <row r="51" spans="1:5" ht="15">
      <c r="A51" s="398" t="s">
        <v>398</v>
      </c>
      <c r="B51" s="401" t="s">
        <v>400</v>
      </c>
      <c r="C51" s="398" t="s">
        <v>852</v>
      </c>
      <c r="D51" s="400">
        <v>1</v>
      </c>
      <c r="E51" s="447"/>
    </row>
    <row r="52" spans="1:5">
      <c r="A52" s="442" t="s">
        <v>378</v>
      </c>
      <c r="B52" s="443" t="s">
        <v>379</v>
      </c>
      <c r="C52" s="442"/>
      <c r="D52" s="444"/>
      <c r="E52" s="445"/>
    </row>
    <row r="53" spans="1:5">
      <c r="A53" s="398" t="s">
        <v>380</v>
      </c>
      <c r="B53" s="401" t="s">
        <v>382</v>
      </c>
      <c r="C53" s="398" t="s">
        <v>67</v>
      </c>
      <c r="D53" s="400">
        <v>1</v>
      </c>
      <c r="E53" s="447"/>
    </row>
    <row r="54" spans="1:5" ht="15">
      <c r="A54" s="398" t="s">
        <v>383</v>
      </c>
      <c r="B54" s="401" t="s">
        <v>385</v>
      </c>
      <c r="C54" s="398" t="s">
        <v>852</v>
      </c>
      <c r="D54" s="400">
        <v>1</v>
      </c>
      <c r="E54" s="447"/>
    </row>
    <row r="55" spans="1:5" ht="15">
      <c r="A55" s="398" t="s">
        <v>387</v>
      </c>
      <c r="B55" s="401" t="s">
        <v>389</v>
      </c>
      <c r="C55" s="398" t="s">
        <v>852</v>
      </c>
      <c r="D55" s="400">
        <v>1</v>
      </c>
      <c r="E55" s="447"/>
    </row>
    <row r="56" spans="1:5" s="220" customFormat="1" ht="27.6">
      <c r="A56" s="448" t="s">
        <v>869</v>
      </c>
      <c r="B56" s="449" t="s">
        <v>870</v>
      </c>
      <c r="C56" s="448" t="s">
        <v>853</v>
      </c>
      <c r="D56" s="400">
        <v>1</v>
      </c>
      <c r="E56" s="447"/>
    </row>
    <row r="57" spans="1:5">
      <c r="A57" s="442" t="s">
        <v>633</v>
      </c>
      <c r="B57" s="443" t="s">
        <v>871</v>
      </c>
      <c r="C57" s="442"/>
      <c r="D57" s="444"/>
      <c r="E57" s="445"/>
    </row>
    <row r="58" spans="1:5" ht="27.6">
      <c r="A58" s="404" t="s">
        <v>643</v>
      </c>
      <c r="B58" s="401" t="s">
        <v>644</v>
      </c>
      <c r="C58" s="398" t="s">
        <v>852</v>
      </c>
      <c r="D58" s="400">
        <v>1</v>
      </c>
      <c r="E58" s="447"/>
    </row>
    <row r="59" spans="1:5" ht="15">
      <c r="A59" s="404" t="s">
        <v>646</v>
      </c>
      <c r="B59" s="401" t="s">
        <v>647</v>
      </c>
      <c r="C59" s="398" t="s">
        <v>852</v>
      </c>
      <c r="D59" s="400">
        <v>1</v>
      </c>
      <c r="E59" s="447"/>
    </row>
    <row r="60" spans="1:5">
      <c r="A60" s="404" t="s">
        <v>651</v>
      </c>
      <c r="B60" s="399" t="s">
        <v>652</v>
      </c>
      <c r="C60" s="398" t="s">
        <v>67</v>
      </c>
      <c r="D60" s="400">
        <v>1</v>
      </c>
      <c r="E60" s="447"/>
    </row>
    <row r="61" spans="1:5" s="220" customFormat="1" ht="27.6">
      <c r="A61" s="448" t="s">
        <v>654</v>
      </c>
      <c r="B61" s="449" t="s">
        <v>872</v>
      </c>
      <c r="C61" s="453" t="s">
        <v>873</v>
      </c>
      <c r="D61" s="400">
        <v>1</v>
      </c>
      <c r="E61" s="447"/>
    </row>
    <row r="62" spans="1:5" s="220" customFormat="1" ht="27.6">
      <c r="A62" s="448" t="s">
        <v>657</v>
      </c>
      <c r="B62" s="449" t="s">
        <v>661</v>
      </c>
      <c r="C62" s="448" t="s">
        <v>853</v>
      </c>
      <c r="D62" s="400">
        <v>1</v>
      </c>
      <c r="E62" s="447"/>
    </row>
    <row r="63" spans="1:5">
      <c r="A63" s="442" t="s">
        <v>874</v>
      </c>
      <c r="B63" s="443" t="s">
        <v>664</v>
      </c>
      <c r="C63" s="442"/>
      <c r="D63" s="444"/>
      <c r="E63" s="445"/>
    </row>
    <row r="64" spans="1:5" ht="15">
      <c r="A64" s="404" t="s">
        <v>668</v>
      </c>
      <c r="B64" s="399" t="s">
        <v>875</v>
      </c>
      <c r="C64" s="398" t="s">
        <v>852</v>
      </c>
      <c r="D64" s="400">
        <v>1</v>
      </c>
      <c r="E64" s="447"/>
    </row>
    <row r="65" spans="1:5" ht="15">
      <c r="A65" s="404" t="s">
        <v>671</v>
      </c>
      <c r="B65" s="401" t="s">
        <v>876</v>
      </c>
      <c r="C65" s="398" t="s">
        <v>852</v>
      </c>
      <c r="D65" s="400">
        <v>1</v>
      </c>
      <c r="E65" s="447"/>
    </row>
    <row r="66" spans="1:5" s="220" customFormat="1" ht="15">
      <c r="A66" s="404" t="s">
        <v>674</v>
      </c>
      <c r="B66" s="452" t="s">
        <v>675</v>
      </c>
      <c r="C66" s="448" t="s">
        <v>853</v>
      </c>
      <c r="D66" s="400">
        <v>1</v>
      </c>
      <c r="E66" s="447"/>
    </row>
    <row r="67" spans="1:5" s="220" customFormat="1">
      <c r="A67" s="404" t="s">
        <v>677</v>
      </c>
      <c r="B67" s="452" t="s">
        <v>678</v>
      </c>
      <c r="C67" s="448" t="s">
        <v>123</v>
      </c>
      <c r="D67" s="400">
        <v>1</v>
      </c>
      <c r="E67" s="447"/>
    </row>
    <row r="68" spans="1:5" s="220" customFormat="1" ht="15">
      <c r="A68" s="404" t="s">
        <v>680</v>
      </c>
      <c r="B68" s="452" t="s">
        <v>681</v>
      </c>
      <c r="C68" s="448" t="s">
        <v>853</v>
      </c>
      <c r="D68" s="400">
        <v>1</v>
      </c>
      <c r="E68" s="447"/>
    </row>
    <row r="69" spans="1:5">
      <c r="A69" s="442" t="s">
        <v>329</v>
      </c>
      <c r="B69" s="443" t="s">
        <v>331</v>
      </c>
      <c r="C69" s="442"/>
      <c r="D69" s="444"/>
      <c r="E69" s="445"/>
    </row>
    <row r="70" spans="1:5">
      <c r="A70" s="442" t="s">
        <v>877</v>
      </c>
      <c r="B70" s="443" t="s">
        <v>878</v>
      </c>
      <c r="C70" s="442"/>
      <c r="D70" s="444"/>
      <c r="E70" s="445"/>
    </row>
    <row r="71" spans="1:5" ht="27.6">
      <c r="A71" s="398" t="s">
        <v>879</v>
      </c>
      <c r="B71" s="401" t="s">
        <v>880</v>
      </c>
      <c r="C71" s="404" t="s">
        <v>175</v>
      </c>
      <c r="D71" s="400">
        <v>1</v>
      </c>
      <c r="E71" s="447"/>
    </row>
    <row r="72" spans="1:5" ht="27.6">
      <c r="A72" s="398" t="s">
        <v>881</v>
      </c>
      <c r="B72" s="401" t="s">
        <v>882</v>
      </c>
      <c r="C72" s="404" t="s">
        <v>175</v>
      </c>
      <c r="D72" s="400">
        <v>1</v>
      </c>
      <c r="E72" s="447"/>
    </row>
    <row r="73" spans="1:5" ht="27.6">
      <c r="A73" s="448" t="s">
        <v>344</v>
      </c>
      <c r="B73" s="449" t="s">
        <v>345</v>
      </c>
      <c r="C73" s="448" t="s">
        <v>346</v>
      </c>
      <c r="D73" s="400">
        <v>1</v>
      </c>
      <c r="E73" s="447"/>
    </row>
    <row r="74" spans="1:5" ht="27.6">
      <c r="A74" s="448" t="s">
        <v>348</v>
      </c>
      <c r="B74" s="449" t="s">
        <v>349</v>
      </c>
      <c r="C74" s="448" t="s">
        <v>346</v>
      </c>
      <c r="D74" s="400">
        <v>1</v>
      </c>
      <c r="E74" s="447"/>
    </row>
    <row r="75" spans="1:5" ht="27.6">
      <c r="A75" s="448" t="s">
        <v>351</v>
      </c>
      <c r="B75" s="449" t="s">
        <v>354</v>
      </c>
      <c r="C75" s="448" t="s">
        <v>123</v>
      </c>
      <c r="D75" s="400">
        <v>1</v>
      </c>
      <c r="E75" s="447"/>
    </row>
    <row r="76" spans="1:5">
      <c r="A76" s="442" t="s">
        <v>883</v>
      </c>
      <c r="B76" s="443" t="s">
        <v>884</v>
      </c>
      <c r="C76" s="442"/>
      <c r="D76" s="444"/>
      <c r="E76" s="445"/>
    </row>
    <row r="77" spans="1:5" ht="27.6">
      <c r="A77" s="398" t="s">
        <v>885</v>
      </c>
      <c r="B77" s="401" t="s">
        <v>886</v>
      </c>
      <c r="C77" s="398" t="s">
        <v>887</v>
      </c>
      <c r="D77" s="400">
        <v>1</v>
      </c>
      <c r="E77" s="447"/>
    </row>
    <row r="78" spans="1:5" s="388" customFormat="1" ht="27.6">
      <c r="A78" s="448" t="s">
        <v>888</v>
      </c>
      <c r="B78" s="449" t="s">
        <v>889</v>
      </c>
      <c r="C78" s="448" t="s">
        <v>887</v>
      </c>
      <c r="D78" s="400">
        <v>1</v>
      </c>
      <c r="E78" s="447"/>
    </row>
    <row r="79" spans="1:5" s="388" customFormat="1" ht="27.6">
      <c r="A79" s="448" t="s">
        <v>890</v>
      </c>
      <c r="B79" s="449" t="s">
        <v>891</v>
      </c>
      <c r="C79" s="448" t="s">
        <v>887</v>
      </c>
      <c r="D79" s="400">
        <v>1</v>
      </c>
      <c r="E79" s="447"/>
    </row>
    <row r="80" spans="1:5" s="387" customFormat="1">
      <c r="A80" s="442" t="s">
        <v>892</v>
      </c>
      <c r="B80" s="443" t="s">
        <v>359</v>
      </c>
      <c r="C80" s="442"/>
      <c r="D80" s="444"/>
      <c r="E80" s="445"/>
    </row>
    <row r="81" spans="1:5" s="387" customFormat="1" ht="27.6">
      <c r="A81" s="448" t="s">
        <v>893</v>
      </c>
      <c r="B81" s="449" t="s">
        <v>894</v>
      </c>
      <c r="C81" s="448" t="s">
        <v>346</v>
      </c>
      <c r="D81" s="400">
        <v>1</v>
      </c>
      <c r="E81" s="447"/>
    </row>
    <row r="82" spans="1:5" ht="27.6">
      <c r="A82" s="448" t="s">
        <v>895</v>
      </c>
      <c r="B82" s="449" t="s">
        <v>896</v>
      </c>
      <c r="C82" s="448" t="s">
        <v>346</v>
      </c>
      <c r="D82" s="400">
        <v>1</v>
      </c>
      <c r="E82" s="447"/>
    </row>
    <row r="83" spans="1:5">
      <c r="A83" s="448" t="s">
        <v>897</v>
      </c>
      <c r="B83" s="449" t="s">
        <v>369</v>
      </c>
      <c r="C83" s="448" t="s">
        <v>346</v>
      </c>
      <c r="D83" s="400">
        <v>1</v>
      </c>
      <c r="E83" s="447"/>
    </row>
    <row r="84" spans="1:5">
      <c r="A84" s="442" t="s">
        <v>701</v>
      </c>
      <c r="B84" s="443" t="s">
        <v>702</v>
      </c>
      <c r="C84" s="442"/>
      <c r="D84" s="444"/>
      <c r="E84" s="445"/>
    </row>
    <row r="85" spans="1:5">
      <c r="A85" s="398" t="s">
        <v>703</v>
      </c>
      <c r="B85" s="401" t="s">
        <v>705</v>
      </c>
      <c r="C85" s="398" t="s">
        <v>175</v>
      </c>
      <c r="D85" s="400">
        <v>1</v>
      </c>
      <c r="E85" s="447"/>
    </row>
    <row r="86" spans="1:5">
      <c r="A86" s="398" t="s">
        <v>706</v>
      </c>
      <c r="B86" s="401" t="s">
        <v>708</v>
      </c>
      <c r="C86" s="398" t="s">
        <v>67</v>
      </c>
      <c r="D86" s="400">
        <v>1</v>
      </c>
      <c r="E86" s="447"/>
    </row>
    <row r="87" spans="1:5">
      <c r="A87" s="398" t="s">
        <v>709</v>
      </c>
      <c r="B87" s="401" t="s">
        <v>711</v>
      </c>
      <c r="C87" s="398" t="s">
        <v>67</v>
      </c>
      <c r="D87" s="400">
        <v>1</v>
      </c>
      <c r="E87" s="447"/>
    </row>
    <row r="88" spans="1:5">
      <c r="A88" s="442" t="s">
        <v>898</v>
      </c>
      <c r="B88" s="443" t="s">
        <v>27</v>
      </c>
      <c r="C88" s="442"/>
      <c r="D88" s="444"/>
      <c r="E88" s="445"/>
    </row>
    <row r="89" spans="1:5" ht="15">
      <c r="A89" s="398" t="s">
        <v>112</v>
      </c>
      <c r="B89" s="401" t="s">
        <v>714</v>
      </c>
      <c r="C89" s="398" t="s">
        <v>852</v>
      </c>
      <c r="D89" s="400">
        <v>1</v>
      </c>
      <c r="E89" s="447"/>
    </row>
    <row r="90" spans="1:5">
      <c r="A90" s="442" t="s">
        <v>899</v>
      </c>
      <c r="B90" s="443" t="s">
        <v>323</v>
      </c>
      <c r="C90" s="442"/>
      <c r="D90" s="444"/>
      <c r="E90" s="445"/>
    </row>
    <row r="91" spans="1:5">
      <c r="A91" s="398" t="s">
        <v>900</v>
      </c>
      <c r="B91" s="401" t="s">
        <v>901</v>
      </c>
      <c r="C91" s="403" t="s">
        <v>326</v>
      </c>
      <c r="D91" s="400">
        <v>1</v>
      </c>
      <c r="E91" s="447"/>
    </row>
    <row r="92" spans="1:5">
      <c r="A92" s="398" t="s">
        <v>902</v>
      </c>
      <c r="B92" s="401" t="s">
        <v>328</v>
      </c>
      <c r="C92" s="403" t="s">
        <v>326</v>
      </c>
      <c r="D92" s="400">
        <v>1</v>
      </c>
      <c r="E92" s="447"/>
    </row>
    <row r="93" spans="1:5">
      <c r="A93" s="442" t="s">
        <v>903</v>
      </c>
      <c r="B93" s="443" t="s">
        <v>904</v>
      </c>
      <c r="C93" s="442"/>
      <c r="D93" s="444"/>
      <c r="E93" s="445"/>
    </row>
    <row r="94" spans="1:5" ht="27.6">
      <c r="A94" s="398" t="s">
        <v>905</v>
      </c>
      <c r="B94" s="401" t="s">
        <v>259</v>
      </c>
      <c r="C94" s="398" t="s">
        <v>873</v>
      </c>
      <c r="D94" s="400">
        <v>1</v>
      </c>
      <c r="E94" s="447"/>
    </row>
    <row r="95" spans="1:5">
      <c r="A95" s="442" t="s">
        <v>906</v>
      </c>
      <c r="B95" s="443" t="s">
        <v>907</v>
      </c>
      <c r="C95" s="442"/>
      <c r="D95" s="444"/>
      <c r="E95" s="445"/>
    </row>
    <row r="96" spans="1:5">
      <c r="A96" s="403" t="s">
        <v>908</v>
      </c>
      <c r="B96" s="454" t="s">
        <v>909</v>
      </c>
      <c r="C96" s="403" t="s">
        <v>873</v>
      </c>
      <c r="D96" s="400">
        <v>1</v>
      </c>
      <c r="E96" s="447"/>
    </row>
    <row r="97" spans="1:5">
      <c r="A97" s="403" t="s">
        <v>910</v>
      </c>
      <c r="B97" s="454" t="s">
        <v>911</v>
      </c>
      <c r="C97" s="403" t="s">
        <v>873</v>
      </c>
      <c r="D97" s="400">
        <v>1</v>
      </c>
      <c r="E97" s="447"/>
    </row>
    <row r="98" spans="1:5" s="386" customFormat="1">
      <c r="A98" s="403" t="s">
        <v>912</v>
      </c>
      <c r="B98" s="454" t="s">
        <v>913</v>
      </c>
      <c r="C98" s="403" t="s">
        <v>873</v>
      </c>
      <c r="D98" s="400">
        <v>1</v>
      </c>
      <c r="E98" s="447"/>
    </row>
    <row r="99" spans="1:5" s="386" customFormat="1">
      <c r="A99" s="403" t="s">
        <v>914</v>
      </c>
      <c r="B99" s="454" t="s">
        <v>915</v>
      </c>
      <c r="C99" s="403" t="s">
        <v>873</v>
      </c>
      <c r="D99" s="400">
        <v>1</v>
      </c>
      <c r="E99" s="447"/>
    </row>
    <row r="100" spans="1:5" s="386" customFormat="1" ht="15">
      <c r="A100" s="403" t="s">
        <v>916</v>
      </c>
      <c r="B100" s="454" t="s">
        <v>432</v>
      </c>
      <c r="C100" s="403" t="s">
        <v>917</v>
      </c>
      <c r="D100" s="400">
        <v>1</v>
      </c>
      <c r="E100" s="447"/>
    </row>
    <row r="101" spans="1:5" s="386" customFormat="1" ht="15">
      <c r="A101" s="403" t="s">
        <v>918</v>
      </c>
      <c r="B101" s="401" t="s">
        <v>429</v>
      </c>
      <c r="C101" s="403" t="s">
        <v>917</v>
      </c>
      <c r="D101" s="400">
        <v>1</v>
      </c>
      <c r="E101" s="447"/>
    </row>
    <row r="102" spans="1:5" s="386" customFormat="1" ht="27.6">
      <c r="A102" s="403" t="s">
        <v>919</v>
      </c>
      <c r="B102" s="401" t="s">
        <v>407</v>
      </c>
      <c r="C102" s="403" t="s">
        <v>917</v>
      </c>
      <c r="D102" s="400">
        <v>103.8</v>
      </c>
      <c r="E102" s="447"/>
    </row>
    <row r="103" spans="1:5" s="386" customFormat="1" ht="15">
      <c r="A103" s="403" t="s">
        <v>920</v>
      </c>
      <c r="B103" s="401" t="s">
        <v>430</v>
      </c>
      <c r="C103" s="403" t="s">
        <v>917</v>
      </c>
      <c r="D103" s="400">
        <v>288.54000000000002</v>
      </c>
      <c r="E103" s="447"/>
    </row>
    <row r="104" spans="1:5">
      <c r="A104" s="442" t="s">
        <v>433</v>
      </c>
      <c r="B104" s="443" t="s">
        <v>435</v>
      </c>
      <c r="C104" s="442"/>
      <c r="D104" s="444"/>
      <c r="E104" s="445"/>
    </row>
    <row r="105" spans="1:5" ht="27.6">
      <c r="A105" s="398" t="s">
        <v>436</v>
      </c>
      <c r="B105" s="401" t="s">
        <v>440</v>
      </c>
      <c r="C105" s="455" t="s">
        <v>140</v>
      </c>
      <c r="D105" s="456">
        <v>1</v>
      </c>
      <c r="E105" s="457"/>
    </row>
    <row r="106" spans="1:5">
      <c r="A106" s="398" t="s">
        <v>441</v>
      </c>
      <c r="B106" s="401" t="s">
        <v>445</v>
      </c>
      <c r="C106" s="455" t="s">
        <v>140</v>
      </c>
      <c r="D106" s="456">
        <v>1</v>
      </c>
      <c r="E106" s="457"/>
    </row>
    <row r="107" spans="1:5" ht="27.6">
      <c r="A107" s="398" t="s">
        <v>921</v>
      </c>
      <c r="B107" s="401" t="s">
        <v>438</v>
      </c>
      <c r="C107" s="455" t="s">
        <v>140</v>
      </c>
      <c r="D107" s="456">
        <v>1</v>
      </c>
      <c r="E107" s="457"/>
    </row>
    <row r="108" spans="1:5">
      <c r="A108" s="398" t="s">
        <v>922</v>
      </c>
      <c r="B108" s="399" t="s">
        <v>448</v>
      </c>
      <c r="C108" s="455" t="s">
        <v>346</v>
      </c>
      <c r="D108" s="456">
        <v>1</v>
      </c>
      <c r="E108" s="457"/>
    </row>
    <row r="109" spans="1:5">
      <c r="A109" s="398" t="s">
        <v>923</v>
      </c>
      <c r="B109" s="399" t="s">
        <v>451</v>
      </c>
      <c r="C109" s="455" t="s">
        <v>346</v>
      </c>
      <c r="D109" s="456">
        <v>1</v>
      </c>
      <c r="E109" s="457"/>
    </row>
    <row r="110" spans="1:5" ht="27.6">
      <c r="A110" s="398" t="s">
        <v>924</v>
      </c>
      <c r="B110" s="401" t="s">
        <v>454</v>
      </c>
      <c r="C110" s="455" t="s">
        <v>346</v>
      </c>
      <c r="D110" s="456">
        <v>1</v>
      </c>
      <c r="E110" s="457"/>
    </row>
    <row r="111" spans="1:5" s="386" customFormat="1">
      <c r="A111" s="442" t="s">
        <v>925</v>
      </c>
      <c r="B111" s="443" t="s">
        <v>624</v>
      </c>
      <c r="C111" s="442"/>
      <c r="D111" s="444"/>
      <c r="E111" s="445"/>
    </row>
    <row r="112" spans="1:5" s="386" customFormat="1">
      <c r="A112" s="398" t="s">
        <v>926</v>
      </c>
      <c r="B112" s="408" t="s">
        <v>627</v>
      </c>
      <c r="C112" s="398" t="s">
        <v>67</v>
      </c>
      <c r="D112" s="400">
        <v>1</v>
      </c>
      <c r="E112" s="447"/>
    </row>
    <row r="113" spans="1:15" s="386" customFormat="1">
      <c r="A113" s="448" t="s">
        <v>927</v>
      </c>
      <c r="B113" s="449" t="s">
        <v>629</v>
      </c>
      <c r="C113" s="448" t="s">
        <v>67</v>
      </c>
      <c r="D113" s="400">
        <v>1</v>
      </c>
      <c r="E113" s="447"/>
    </row>
    <row r="114" spans="1:15" ht="15">
      <c r="A114" s="448" t="s">
        <v>928</v>
      </c>
      <c r="B114" s="449" t="s">
        <v>632</v>
      </c>
      <c r="C114" s="448" t="s">
        <v>853</v>
      </c>
      <c r="D114" s="400">
        <v>1</v>
      </c>
      <c r="E114" s="447"/>
      <c r="F114" s="386"/>
      <c r="G114" s="386"/>
      <c r="H114" s="386"/>
      <c r="I114" s="386"/>
      <c r="J114" s="386"/>
      <c r="K114" s="386"/>
      <c r="L114" s="386"/>
      <c r="M114" s="386"/>
      <c r="N114" s="386"/>
      <c r="O114" s="386"/>
    </row>
    <row r="115" spans="1:15">
      <c r="A115" s="442" t="s">
        <v>929</v>
      </c>
      <c r="B115" s="443" t="s">
        <v>756</v>
      </c>
      <c r="C115" s="442"/>
      <c r="D115" s="444"/>
      <c r="E115" s="445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</row>
    <row r="116" spans="1:15" s="340" customFormat="1">
      <c r="A116" s="403" t="s">
        <v>930</v>
      </c>
      <c r="B116" s="401" t="s">
        <v>758</v>
      </c>
      <c r="C116" s="403" t="s">
        <v>759</v>
      </c>
      <c r="D116" s="400">
        <v>1</v>
      </c>
      <c r="E116" s="447"/>
    </row>
    <row r="117" spans="1:15" ht="15">
      <c r="A117" s="458" t="s">
        <v>128</v>
      </c>
      <c r="B117" s="459" t="s">
        <v>130</v>
      </c>
      <c r="C117" s="460"/>
      <c r="D117" s="461"/>
      <c r="E117" s="462"/>
    </row>
    <row r="118" spans="1:15" ht="27.6">
      <c r="A118" s="398" t="s">
        <v>137</v>
      </c>
      <c r="B118" s="401" t="s">
        <v>139</v>
      </c>
      <c r="C118" s="398" t="s">
        <v>175</v>
      </c>
      <c r="D118" s="400">
        <v>1</v>
      </c>
      <c r="E118" s="447"/>
    </row>
    <row r="119" spans="1:15">
      <c r="A119" s="442" t="s">
        <v>931</v>
      </c>
      <c r="B119" s="443" t="s">
        <v>206</v>
      </c>
      <c r="C119" s="442"/>
      <c r="D119" s="444"/>
      <c r="E119" s="445"/>
    </row>
    <row r="120" spans="1:15">
      <c r="A120" s="442" t="s">
        <v>932</v>
      </c>
      <c r="B120" s="443" t="s">
        <v>208</v>
      </c>
      <c r="C120" s="442"/>
      <c r="D120" s="444"/>
      <c r="E120" s="445"/>
    </row>
    <row r="121" spans="1:15">
      <c r="A121" s="398" t="s">
        <v>207</v>
      </c>
      <c r="B121" s="401" t="s">
        <v>217</v>
      </c>
      <c r="C121" s="398" t="s">
        <v>175</v>
      </c>
      <c r="D121" s="400">
        <v>1</v>
      </c>
      <c r="E121" s="447"/>
    </row>
    <row r="122" spans="1:15">
      <c r="A122" s="398" t="s">
        <v>210</v>
      </c>
      <c r="B122" s="401" t="s">
        <v>211</v>
      </c>
      <c r="C122" s="398" t="s">
        <v>175</v>
      </c>
      <c r="D122" s="400">
        <v>1</v>
      </c>
      <c r="E122" s="447"/>
    </row>
    <row r="123" spans="1:15">
      <c r="A123" s="442" t="s">
        <v>933</v>
      </c>
      <c r="B123" s="443" t="s">
        <v>219</v>
      </c>
      <c r="C123" s="442"/>
      <c r="D123" s="444"/>
      <c r="E123" s="445"/>
    </row>
    <row r="124" spans="1:15">
      <c r="A124" s="398" t="s">
        <v>934</v>
      </c>
      <c r="B124" s="401" t="s">
        <v>223</v>
      </c>
      <c r="C124" s="398" t="s">
        <v>224</v>
      </c>
      <c r="D124" s="400">
        <v>1</v>
      </c>
      <c r="E124" s="447"/>
    </row>
    <row r="125" spans="1:15">
      <c r="A125" s="398" t="s">
        <v>935</v>
      </c>
      <c r="B125" s="401" t="s">
        <v>236</v>
      </c>
      <c r="C125" s="398" t="s">
        <v>224</v>
      </c>
      <c r="D125" s="400">
        <v>1</v>
      </c>
      <c r="E125" s="447"/>
    </row>
    <row r="126" spans="1:15">
      <c r="A126" s="398" t="s">
        <v>936</v>
      </c>
      <c r="B126" s="401" t="s">
        <v>229</v>
      </c>
      <c r="C126" s="398" t="s">
        <v>224</v>
      </c>
      <c r="D126" s="400">
        <v>1</v>
      </c>
      <c r="E126" s="447"/>
    </row>
    <row r="127" spans="1:15">
      <c r="A127" s="398" t="s">
        <v>937</v>
      </c>
      <c r="B127" s="401" t="s">
        <v>126</v>
      </c>
      <c r="C127" s="398" t="s">
        <v>67</v>
      </c>
      <c r="D127" s="400">
        <v>1</v>
      </c>
      <c r="E127" s="447"/>
    </row>
    <row r="128" spans="1:15">
      <c r="A128" s="398" t="s">
        <v>938</v>
      </c>
      <c r="B128" s="401" t="s">
        <v>122</v>
      </c>
      <c r="C128" s="398" t="s">
        <v>123</v>
      </c>
      <c r="D128" s="400">
        <v>1</v>
      </c>
      <c r="E128" s="447"/>
    </row>
    <row r="129" spans="1:5">
      <c r="A129" s="442" t="s">
        <v>939</v>
      </c>
      <c r="B129" s="443" t="s">
        <v>152</v>
      </c>
      <c r="C129" s="442"/>
      <c r="D129" s="444"/>
      <c r="E129" s="445"/>
    </row>
    <row r="130" spans="1:5">
      <c r="A130" s="398" t="s">
        <v>153</v>
      </c>
      <c r="B130" s="401" t="s">
        <v>154</v>
      </c>
      <c r="C130" s="398" t="s">
        <v>155</v>
      </c>
      <c r="D130" s="400">
        <v>1</v>
      </c>
      <c r="E130" s="447"/>
    </row>
    <row r="131" spans="1:5">
      <c r="A131" s="442" t="s">
        <v>940</v>
      </c>
      <c r="B131" s="443" t="s">
        <v>144</v>
      </c>
      <c r="C131" s="442"/>
      <c r="D131" s="444"/>
      <c r="E131" s="445"/>
    </row>
    <row r="132" spans="1:5">
      <c r="A132" s="398" t="s">
        <v>941</v>
      </c>
      <c r="B132" s="401" t="s">
        <v>150</v>
      </c>
      <c r="C132" s="398" t="s">
        <v>175</v>
      </c>
      <c r="D132" s="400">
        <v>1</v>
      </c>
      <c r="E132" s="447"/>
    </row>
    <row r="133" spans="1:5">
      <c r="A133" s="398" t="s">
        <v>942</v>
      </c>
      <c r="B133" s="401" t="s">
        <v>148</v>
      </c>
      <c r="C133" s="398" t="s">
        <v>175</v>
      </c>
      <c r="D133" s="400">
        <v>1</v>
      </c>
      <c r="E133" s="447"/>
    </row>
    <row r="134" spans="1:5">
      <c r="A134" s="442" t="s">
        <v>943</v>
      </c>
      <c r="B134" s="443" t="s">
        <v>162</v>
      </c>
      <c r="C134" s="442"/>
      <c r="D134" s="444"/>
      <c r="E134" s="445"/>
    </row>
    <row r="135" spans="1:5" ht="27.6">
      <c r="A135" s="398" t="s">
        <v>944</v>
      </c>
      <c r="B135" s="401" t="s">
        <v>945</v>
      </c>
      <c r="C135" s="398" t="s">
        <v>175</v>
      </c>
      <c r="D135" s="400">
        <v>1</v>
      </c>
      <c r="E135" s="447"/>
    </row>
    <row r="136" spans="1:5">
      <c r="A136" s="442" t="s">
        <v>946</v>
      </c>
      <c r="B136" s="443" t="s">
        <v>171</v>
      </c>
      <c r="C136" s="442"/>
      <c r="D136" s="444"/>
      <c r="E136" s="445"/>
    </row>
    <row r="137" spans="1:5">
      <c r="A137" s="398" t="s">
        <v>947</v>
      </c>
      <c r="B137" s="401" t="s">
        <v>200</v>
      </c>
      <c r="C137" s="398" t="s">
        <v>175</v>
      </c>
      <c r="D137" s="400">
        <v>1</v>
      </c>
      <c r="E137" s="447"/>
    </row>
    <row r="138" spans="1:5">
      <c r="A138" s="398" t="s">
        <v>948</v>
      </c>
      <c r="B138" s="401" t="s">
        <v>198</v>
      </c>
      <c r="C138" s="398" t="s">
        <v>175</v>
      </c>
      <c r="D138" s="400">
        <v>1</v>
      </c>
      <c r="E138" s="447"/>
    </row>
    <row r="139" spans="1:5">
      <c r="A139" s="398" t="s">
        <v>949</v>
      </c>
      <c r="B139" s="401" t="s">
        <v>202</v>
      </c>
      <c r="C139" s="398" t="s">
        <v>175</v>
      </c>
      <c r="D139" s="400">
        <v>1</v>
      </c>
      <c r="E139" s="447"/>
    </row>
    <row r="140" spans="1:5">
      <c r="A140" s="398" t="s">
        <v>950</v>
      </c>
      <c r="B140" s="401" t="s">
        <v>190</v>
      </c>
      <c r="C140" s="398" t="s">
        <v>175</v>
      </c>
      <c r="D140" s="400">
        <v>1</v>
      </c>
      <c r="E140" s="447"/>
    </row>
    <row r="141" spans="1:5">
      <c r="A141" s="398" t="s">
        <v>951</v>
      </c>
      <c r="B141" s="401" t="s">
        <v>188</v>
      </c>
      <c r="C141" s="398" t="s">
        <v>175</v>
      </c>
      <c r="D141" s="400">
        <v>1</v>
      </c>
      <c r="E141" s="447"/>
    </row>
    <row r="142" spans="1:5" s="220" customFormat="1">
      <c r="A142" s="398" t="s">
        <v>952</v>
      </c>
      <c r="B142" s="401" t="s">
        <v>174</v>
      </c>
      <c r="C142" s="398" t="s">
        <v>175</v>
      </c>
      <c r="D142" s="400">
        <v>1</v>
      </c>
      <c r="E142" s="447"/>
    </row>
    <row r="143" spans="1:5" s="220" customFormat="1">
      <c r="A143" s="398" t="s">
        <v>953</v>
      </c>
      <c r="B143" s="401" t="s">
        <v>954</v>
      </c>
      <c r="C143" s="398" t="s">
        <v>181</v>
      </c>
      <c r="D143" s="400">
        <v>1</v>
      </c>
      <c r="E143" s="447"/>
    </row>
    <row r="144" spans="1:5" s="220" customFormat="1">
      <c r="A144" s="398" t="s">
        <v>955</v>
      </c>
      <c r="B144" s="449" t="s">
        <v>185</v>
      </c>
      <c r="C144" s="448" t="s">
        <v>123</v>
      </c>
      <c r="D144" s="400">
        <v>1</v>
      </c>
      <c r="E144" s="447"/>
    </row>
    <row r="145" spans="1:5" s="220" customFormat="1">
      <c r="A145" s="398" t="s">
        <v>956</v>
      </c>
      <c r="B145" s="449" t="s">
        <v>234</v>
      </c>
      <c r="C145" s="448" t="s">
        <v>147</v>
      </c>
      <c r="D145" s="400">
        <v>1</v>
      </c>
      <c r="E145" s="447"/>
    </row>
    <row r="146" spans="1:5">
      <c r="A146" s="398" t="s">
        <v>957</v>
      </c>
      <c r="B146" s="449" t="s">
        <v>238</v>
      </c>
      <c r="C146" s="448" t="s">
        <v>147</v>
      </c>
      <c r="D146" s="400">
        <v>1</v>
      </c>
      <c r="E146" s="447"/>
    </row>
    <row r="147" spans="1:5" s="220" customFormat="1">
      <c r="A147" s="398" t="s">
        <v>958</v>
      </c>
      <c r="B147" s="449" t="s">
        <v>241</v>
      </c>
      <c r="C147" s="448" t="s">
        <v>147</v>
      </c>
      <c r="D147" s="400">
        <v>1</v>
      </c>
      <c r="E147" s="447"/>
    </row>
    <row r="148" spans="1:5">
      <c r="A148" s="398" t="s">
        <v>959</v>
      </c>
      <c r="B148" s="401" t="s">
        <v>193</v>
      </c>
      <c r="C148" s="398" t="s">
        <v>175</v>
      </c>
      <c r="D148" s="400">
        <v>1</v>
      </c>
      <c r="E148" s="447"/>
    </row>
    <row r="149" spans="1:5">
      <c r="A149" s="398" t="s">
        <v>960</v>
      </c>
      <c r="B149" s="401" t="s">
        <v>196</v>
      </c>
      <c r="C149" s="398" t="s">
        <v>175</v>
      </c>
      <c r="D149" s="400">
        <v>1</v>
      </c>
      <c r="E149" s="447"/>
    </row>
    <row r="150" spans="1:5">
      <c r="A150" s="442" t="s">
        <v>961</v>
      </c>
      <c r="B150" s="443" t="s">
        <v>18</v>
      </c>
      <c r="C150" s="442"/>
      <c r="D150" s="444"/>
      <c r="E150" s="445"/>
    </row>
    <row r="151" spans="1:5">
      <c r="A151" s="448" t="s">
        <v>962</v>
      </c>
      <c r="B151" s="449" t="s">
        <v>18</v>
      </c>
      <c r="C151" s="448" t="s">
        <v>232</v>
      </c>
      <c r="D151" s="400">
        <v>1</v>
      </c>
      <c r="E151" s="447"/>
    </row>
    <row r="152" spans="1:5">
      <c r="A152" s="442" t="s">
        <v>963</v>
      </c>
      <c r="B152" s="443" t="s">
        <v>157</v>
      </c>
      <c r="C152" s="442"/>
      <c r="D152" s="444"/>
      <c r="E152" s="445"/>
    </row>
    <row r="153" spans="1:5">
      <c r="A153" s="398" t="s">
        <v>964</v>
      </c>
      <c r="B153" s="401" t="s">
        <v>160</v>
      </c>
      <c r="C153" s="398" t="s">
        <v>175</v>
      </c>
      <c r="D153" s="400">
        <v>1</v>
      </c>
      <c r="E153" s="447"/>
    </row>
    <row r="154" spans="1:5" ht="15">
      <c r="A154" s="463" t="s">
        <v>965</v>
      </c>
      <c r="B154" s="579" t="s">
        <v>966</v>
      </c>
      <c r="C154" s="579"/>
      <c r="D154" s="579"/>
      <c r="E154" s="464"/>
    </row>
    <row r="155" spans="1:5" ht="30">
      <c r="A155" s="442" t="s">
        <v>0</v>
      </c>
      <c r="B155" s="443" t="s">
        <v>967</v>
      </c>
      <c r="C155" s="442" t="s">
        <v>3</v>
      </c>
      <c r="D155" s="444" t="s">
        <v>4</v>
      </c>
      <c r="E155" s="576" t="s">
        <v>840</v>
      </c>
    </row>
    <row r="156" spans="1:5">
      <c r="A156" s="442" t="s">
        <v>968</v>
      </c>
      <c r="B156" s="443" t="s">
        <v>969</v>
      </c>
      <c r="C156" s="442"/>
      <c r="D156" s="444"/>
      <c r="E156" s="445"/>
    </row>
    <row r="157" spans="1:5">
      <c r="A157" s="403" t="s">
        <v>970</v>
      </c>
      <c r="B157" s="401" t="s">
        <v>821</v>
      </c>
      <c r="C157" s="398" t="s">
        <v>67</v>
      </c>
      <c r="D157" s="416">
        <v>1</v>
      </c>
      <c r="E157" s="447"/>
    </row>
    <row r="158" spans="1:5">
      <c r="A158" s="403" t="s">
        <v>971</v>
      </c>
      <c r="B158" s="401" t="s">
        <v>819</v>
      </c>
      <c r="C158" s="398" t="s">
        <v>67</v>
      </c>
      <c r="D158" s="416">
        <v>1</v>
      </c>
      <c r="E158" s="447"/>
    </row>
    <row r="159" spans="1:5">
      <c r="A159" s="403" t="s">
        <v>972</v>
      </c>
      <c r="B159" s="401" t="s">
        <v>973</v>
      </c>
      <c r="C159" s="398" t="s">
        <v>67</v>
      </c>
      <c r="D159" s="416">
        <v>1</v>
      </c>
      <c r="E159" s="447"/>
    </row>
    <row r="160" spans="1:5">
      <c r="A160" s="442" t="s">
        <v>974</v>
      </c>
      <c r="B160" s="443" t="s">
        <v>812</v>
      </c>
      <c r="C160" s="442"/>
      <c r="D160" s="444"/>
      <c r="E160" s="445"/>
    </row>
    <row r="161" spans="1:5">
      <c r="A161" s="403" t="s">
        <v>975</v>
      </c>
      <c r="B161" s="401" t="s">
        <v>458</v>
      </c>
      <c r="C161" s="398" t="s">
        <v>67</v>
      </c>
      <c r="D161" s="416">
        <v>1</v>
      </c>
      <c r="E161" s="447"/>
    </row>
    <row r="162" spans="1:5">
      <c r="A162" s="403" t="s">
        <v>976</v>
      </c>
      <c r="B162" s="401" t="s">
        <v>460</v>
      </c>
      <c r="C162" s="398" t="s">
        <v>67</v>
      </c>
      <c r="D162" s="416">
        <v>1</v>
      </c>
      <c r="E162" s="447"/>
    </row>
    <row r="163" spans="1:5">
      <c r="A163" s="442" t="s">
        <v>977</v>
      </c>
      <c r="B163" s="443" t="s">
        <v>16</v>
      </c>
      <c r="C163" s="442"/>
      <c r="D163" s="444"/>
      <c r="E163" s="445"/>
    </row>
    <row r="164" spans="1:5">
      <c r="A164" s="442" t="s">
        <v>574</v>
      </c>
      <c r="B164" s="443" t="s">
        <v>575</v>
      </c>
      <c r="C164" s="442"/>
      <c r="D164" s="444"/>
      <c r="E164" s="445"/>
    </row>
    <row r="165" spans="1:5">
      <c r="A165" s="403" t="s">
        <v>577</v>
      </c>
      <c r="B165" s="401" t="s">
        <v>978</v>
      </c>
      <c r="C165" s="398" t="s">
        <v>326</v>
      </c>
      <c r="D165" s="416">
        <v>1</v>
      </c>
      <c r="E165" s="447"/>
    </row>
    <row r="166" spans="1:5">
      <c r="A166" s="403" t="s">
        <v>579</v>
      </c>
      <c r="B166" s="401" t="s">
        <v>578</v>
      </c>
      <c r="C166" s="398" t="s">
        <v>326</v>
      </c>
      <c r="D166" s="416">
        <v>1</v>
      </c>
      <c r="E166" s="447"/>
    </row>
    <row r="167" spans="1:5">
      <c r="A167" s="403" t="s">
        <v>586</v>
      </c>
      <c r="B167" s="401" t="s">
        <v>979</v>
      </c>
      <c r="C167" s="398" t="s">
        <v>326</v>
      </c>
      <c r="D167" s="416">
        <v>1</v>
      </c>
      <c r="E167" s="447"/>
    </row>
    <row r="168" spans="1:5">
      <c r="A168" s="442" t="s">
        <v>980</v>
      </c>
      <c r="B168" s="443" t="s">
        <v>599</v>
      </c>
      <c r="C168" s="442"/>
      <c r="D168" s="444"/>
      <c r="E168" s="445"/>
    </row>
    <row r="169" spans="1:5">
      <c r="A169" s="403" t="s">
        <v>981</v>
      </c>
      <c r="B169" s="401" t="s">
        <v>605</v>
      </c>
      <c r="C169" s="398" t="s">
        <v>326</v>
      </c>
      <c r="D169" s="416">
        <v>1</v>
      </c>
      <c r="E169" s="447"/>
    </row>
    <row r="170" spans="1:5">
      <c r="A170" s="403" t="s">
        <v>982</v>
      </c>
      <c r="B170" s="401" t="s">
        <v>602</v>
      </c>
      <c r="C170" s="398" t="s">
        <v>326</v>
      </c>
      <c r="D170" s="416">
        <v>1</v>
      </c>
      <c r="E170" s="447"/>
    </row>
    <row r="171" spans="1:5">
      <c r="A171" s="442" t="s">
        <v>591</v>
      </c>
      <c r="B171" s="443" t="s">
        <v>592</v>
      </c>
      <c r="C171" s="442"/>
      <c r="D171" s="444"/>
      <c r="E171" s="445"/>
    </row>
    <row r="172" spans="1:5">
      <c r="A172" s="403" t="s">
        <v>594</v>
      </c>
      <c r="B172" s="401" t="s">
        <v>595</v>
      </c>
      <c r="C172" s="398" t="s">
        <v>326</v>
      </c>
      <c r="D172" s="416">
        <v>1</v>
      </c>
      <c r="E172" s="447"/>
    </row>
    <row r="173" spans="1:5">
      <c r="A173" s="442" t="s">
        <v>496</v>
      </c>
      <c r="B173" s="443" t="s">
        <v>497</v>
      </c>
      <c r="C173" s="442"/>
      <c r="D173" s="444"/>
      <c r="E173" s="445"/>
    </row>
    <row r="174" spans="1:5">
      <c r="A174" s="442" t="s">
        <v>507</v>
      </c>
      <c r="B174" s="443" t="s">
        <v>508</v>
      </c>
      <c r="C174" s="442"/>
      <c r="D174" s="444"/>
      <c r="E174" s="445"/>
    </row>
    <row r="175" spans="1:5">
      <c r="A175" s="403" t="s">
        <v>510</v>
      </c>
      <c r="B175" s="401" t="s">
        <v>511</v>
      </c>
      <c r="C175" s="398" t="s">
        <v>326</v>
      </c>
      <c r="D175" s="416">
        <v>1</v>
      </c>
      <c r="E175" s="447"/>
    </row>
    <row r="176" spans="1:5">
      <c r="A176" s="442" t="s">
        <v>983</v>
      </c>
      <c r="B176" s="443" t="s">
        <v>536</v>
      </c>
      <c r="C176" s="442"/>
      <c r="D176" s="444"/>
      <c r="E176" s="445"/>
    </row>
    <row r="177" spans="1:5">
      <c r="A177" s="403" t="s">
        <v>537</v>
      </c>
      <c r="B177" s="401" t="s">
        <v>538</v>
      </c>
      <c r="C177" s="398" t="s">
        <v>326</v>
      </c>
      <c r="D177" s="416">
        <v>1</v>
      </c>
      <c r="E177" s="447"/>
    </row>
    <row r="178" spans="1:5">
      <c r="A178" s="442" t="s">
        <v>496</v>
      </c>
      <c r="B178" s="443" t="s">
        <v>560</v>
      </c>
      <c r="C178" s="442"/>
      <c r="D178" s="444"/>
      <c r="E178" s="445"/>
    </row>
    <row r="179" spans="1:5">
      <c r="A179" s="403" t="s">
        <v>984</v>
      </c>
      <c r="B179" s="401" t="s">
        <v>563</v>
      </c>
      <c r="C179" s="398" t="s">
        <v>326</v>
      </c>
      <c r="D179" s="416">
        <v>1</v>
      </c>
    </row>
    <row r="180" spans="1:5">
      <c r="A180" s="442" t="s">
        <v>985</v>
      </c>
      <c r="B180" s="443" t="s">
        <v>521</v>
      </c>
      <c r="C180" s="442" t="s">
        <v>28</v>
      </c>
      <c r="D180" s="444"/>
      <c r="E180" s="445"/>
    </row>
    <row r="181" spans="1:5">
      <c r="A181" s="403" t="s">
        <v>986</v>
      </c>
      <c r="B181" s="401" t="s">
        <v>523</v>
      </c>
      <c r="C181" s="398" t="s">
        <v>326</v>
      </c>
      <c r="D181" s="416">
        <v>1</v>
      </c>
      <c r="E181" s="447"/>
    </row>
    <row r="182" spans="1:5">
      <c r="A182" s="442" t="s">
        <v>987</v>
      </c>
      <c r="B182" s="443" t="s">
        <v>565</v>
      </c>
      <c r="C182" s="442"/>
      <c r="D182" s="444"/>
      <c r="E182" s="445"/>
    </row>
    <row r="183" spans="1:5">
      <c r="A183" s="403" t="s">
        <v>567</v>
      </c>
      <c r="B183" s="401" t="s">
        <v>568</v>
      </c>
      <c r="C183" s="398" t="s">
        <v>326</v>
      </c>
      <c r="D183" s="416">
        <v>1</v>
      </c>
      <c r="E183" s="447"/>
    </row>
    <row r="184" spans="1:5">
      <c r="A184" s="403" t="s">
        <v>570</v>
      </c>
      <c r="B184" s="401" t="s">
        <v>571</v>
      </c>
      <c r="C184" s="398" t="s">
        <v>326</v>
      </c>
      <c r="D184" s="416">
        <v>1</v>
      </c>
      <c r="E184" s="447"/>
    </row>
    <row r="185" spans="1:5">
      <c r="A185" s="442" t="s">
        <v>988</v>
      </c>
      <c r="B185" s="443" t="s">
        <v>549</v>
      </c>
      <c r="C185" s="442"/>
      <c r="D185" s="444"/>
      <c r="E185" s="445"/>
    </row>
    <row r="186" spans="1:5">
      <c r="A186" s="403" t="s">
        <v>989</v>
      </c>
      <c r="B186" s="401" t="s">
        <v>556</v>
      </c>
      <c r="C186" s="398" t="s">
        <v>326</v>
      </c>
      <c r="D186" s="416">
        <v>1</v>
      </c>
      <c r="E186" s="447"/>
    </row>
    <row r="187" spans="1:5">
      <c r="A187" s="403" t="s">
        <v>990</v>
      </c>
      <c r="B187" s="401" t="s">
        <v>991</v>
      </c>
      <c r="C187" s="398" t="s">
        <v>326</v>
      </c>
      <c r="D187" s="416">
        <v>1</v>
      </c>
      <c r="E187" s="447"/>
    </row>
    <row r="188" spans="1:5">
      <c r="A188" s="442" t="s">
        <v>992</v>
      </c>
      <c r="B188" s="443" t="s">
        <v>543</v>
      </c>
      <c r="C188" s="442"/>
      <c r="D188" s="444"/>
      <c r="E188" s="445"/>
    </row>
    <row r="189" spans="1:5">
      <c r="A189" s="403" t="s">
        <v>552</v>
      </c>
      <c r="B189" s="401" t="s">
        <v>546</v>
      </c>
      <c r="C189" s="398" t="s">
        <v>326</v>
      </c>
      <c r="D189" s="416">
        <v>1</v>
      </c>
      <c r="E189" s="447"/>
    </row>
    <row r="190" spans="1:5">
      <c r="A190" s="442" t="s">
        <v>993</v>
      </c>
      <c r="B190" s="443" t="s">
        <v>513</v>
      </c>
      <c r="C190" s="442"/>
      <c r="D190" s="444"/>
      <c r="E190" s="445"/>
    </row>
    <row r="191" spans="1:5">
      <c r="A191" s="403" t="s">
        <v>994</v>
      </c>
      <c r="B191" s="401" t="s">
        <v>516</v>
      </c>
      <c r="C191" s="398" t="s">
        <v>326</v>
      </c>
      <c r="D191" s="416">
        <v>1</v>
      </c>
      <c r="E191" s="447"/>
    </row>
    <row r="192" spans="1:5">
      <c r="A192" s="442" t="s">
        <v>995</v>
      </c>
      <c r="B192" s="443" t="s">
        <v>531</v>
      </c>
      <c r="C192" s="442"/>
      <c r="D192" s="444"/>
      <c r="E192" s="445"/>
    </row>
    <row r="193" spans="1:5" ht="19.5" customHeight="1">
      <c r="A193" s="403" t="s">
        <v>533</v>
      </c>
      <c r="B193" s="401" t="s">
        <v>534</v>
      </c>
      <c r="C193" s="398" t="s">
        <v>326</v>
      </c>
      <c r="D193" s="416">
        <v>1</v>
      </c>
      <c r="E193" s="447"/>
    </row>
    <row r="194" spans="1:5" ht="15">
      <c r="A194" s="463" t="s">
        <v>996</v>
      </c>
      <c r="B194" s="579" t="s">
        <v>997</v>
      </c>
      <c r="C194" s="579"/>
      <c r="D194" s="579"/>
      <c r="E194" s="464"/>
    </row>
    <row r="195" spans="1:5" ht="30">
      <c r="A195" s="442" t="s">
        <v>0</v>
      </c>
      <c r="B195" s="443" t="s">
        <v>967</v>
      </c>
      <c r="C195" s="442" t="s">
        <v>3</v>
      </c>
      <c r="D195" s="444" t="s">
        <v>4</v>
      </c>
      <c r="E195" s="576" t="s">
        <v>840</v>
      </c>
    </row>
    <row r="196" spans="1:5">
      <c r="A196" s="442" t="s">
        <v>692</v>
      </c>
      <c r="B196" s="443" t="s">
        <v>697</v>
      </c>
      <c r="C196" s="442"/>
      <c r="D196" s="444"/>
      <c r="E196" s="445"/>
    </row>
    <row r="197" spans="1:5" ht="27.6">
      <c r="A197" s="403" t="s">
        <v>998</v>
      </c>
      <c r="B197" s="401" t="s">
        <v>999</v>
      </c>
      <c r="C197" s="398" t="s">
        <v>67</v>
      </c>
      <c r="D197" s="416">
        <v>1</v>
      </c>
      <c r="E197" s="447"/>
    </row>
    <row r="198" spans="1:5">
      <c r="A198" s="442" t="s">
        <v>1000</v>
      </c>
      <c r="B198" s="443" t="s">
        <v>463</v>
      </c>
      <c r="C198" s="442"/>
      <c r="D198" s="444"/>
      <c r="E198" s="445"/>
    </row>
    <row r="199" spans="1:5">
      <c r="A199" s="442" t="s">
        <v>1001</v>
      </c>
      <c r="B199" s="443" t="s">
        <v>1002</v>
      </c>
      <c r="C199" s="442"/>
      <c r="D199" s="444"/>
      <c r="E199" s="445"/>
    </row>
    <row r="200" spans="1:5">
      <c r="A200" s="403" t="s">
        <v>1003</v>
      </c>
      <c r="B200" s="401" t="s">
        <v>1004</v>
      </c>
      <c r="C200" s="398" t="s">
        <v>67</v>
      </c>
      <c r="D200" s="416">
        <v>1</v>
      </c>
      <c r="E200" s="447"/>
    </row>
    <row r="201" spans="1:5">
      <c r="A201" s="403" t="s">
        <v>1005</v>
      </c>
      <c r="B201" s="401" t="s">
        <v>819</v>
      </c>
      <c r="C201" s="403" t="s">
        <v>67</v>
      </c>
      <c r="D201" s="416">
        <v>1</v>
      </c>
      <c r="E201" s="447"/>
    </row>
    <row r="202" spans="1:5">
      <c r="A202" s="403" t="s">
        <v>1006</v>
      </c>
      <c r="B202" s="401" t="s">
        <v>973</v>
      </c>
      <c r="C202" s="403" t="s">
        <v>67</v>
      </c>
      <c r="D202" s="416">
        <v>1</v>
      </c>
      <c r="E202" s="447"/>
    </row>
    <row r="203" spans="1:5">
      <c r="A203" s="442" t="s">
        <v>1007</v>
      </c>
      <c r="B203" s="443" t="s">
        <v>456</v>
      </c>
      <c r="C203" s="442"/>
      <c r="D203" s="444"/>
      <c r="E203" s="445"/>
    </row>
    <row r="204" spans="1:5">
      <c r="A204" s="403" t="s">
        <v>1008</v>
      </c>
      <c r="B204" s="401" t="s">
        <v>458</v>
      </c>
      <c r="C204" s="398" t="s">
        <v>67</v>
      </c>
      <c r="D204" s="416">
        <v>1</v>
      </c>
      <c r="E204" s="447"/>
    </row>
    <row r="205" spans="1:5">
      <c r="A205" s="403" t="s">
        <v>1009</v>
      </c>
      <c r="B205" s="401" t="s">
        <v>460</v>
      </c>
      <c r="C205" s="398" t="s">
        <v>67</v>
      </c>
      <c r="D205" s="416">
        <v>1</v>
      </c>
      <c r="E205" s="447"/>
    </row>
    <row r="206" spans="1:5">
      <c r="A206" s="442" t="s">
        <v>482</v>
      </c>
      <c r="B206" s="443" t="s">
        <v>483</v>
      </c>
      <c r="C206" s="442"/>
      <c r="D206" s="444"/>
      <c r="E206" s="445"/>
    </row>
    <row r="207" spans="1:5">
      <c r="A207" s="403" t="s">
        <v>484</v>
      </c>
      <c r="B207" s="401" t="s">
        <v>488</v>
      </c>
      <c r="C207" s="398" t="s">
        <v>3</v>
      </c>
      <c r="D207" s="400">
        <v>1</v>
      </c>
      <c r="E207" s="447"/>
    </row>
    <row r="208" spans="1:5">
      <c r="A208" s="403" t="s">
        <v>487</v>
      </c>
      <c r="B208" s="401" t="s">
        <v>485</v>
      </c>
      <c r="C208" s="398" t="s">
        <v>3</v>
      </c>
      <c r="D208" s="400">
        <v>1</v>
      </c>
      <c r="E208" s="447"/>
    </row>
    <row r="209" spans="1:11">
      <c r="A209" s="403" t="s">
        <v>490</v>
      </c>
      <c r="B209" s="401" t="s">
        <v>491</v>
      </c>
      <c r="C209" s="398" t="s">
        <v>3</v>
      </c>
      <c r="D209" s="416">
        <v>1</v>
      </c>
      <c r="E209" s="447"/>
    </row>
    <row r="210" spans="1:11">
      <c r="A210" s="403" t="s">
        <v>493</v>
      </c>
      <c r="B210" s="401" t="s">
        <v>494</v>
      </c>
      <c r="C210" s="398" t="s">
        <v>3</v>
      </c>
      <c r="D210" s="400">
        <v>1</v>
      </c>
      <c r="E210" s="447"/>
    </row>
    <row r="211" spans="1:11">
      <c r="A211" s="442" t="s">
        <v>1010</v>
      </c>
      <c r="B211" s="443" t="s">
        <v>72</v>
      </c>
      <c r="C211" s="442"/>
      <c r="D211" s="444"/>
      <c r="E211" s="445"/>
    </row>
    <row r="212" spans="1:11">
      <c r="A212" s="442" t="s">
        <v>1011</v>
      </c>
      <c r="B212" s="443" t="s">
        <v>101</v>
      </c>
      <c r="C212" s="442"/>
      <c r="D212" s="444"/>
      <c r="E212" s="445"/>
    </row>
    <row r="213" spans="1:11">
      <c r="A213" s="403" t="s">
        <v>1012</v>
      </c>
      <c r="B213" s="401" t="s">
        <v>103</v>
      </c>
      <c r="C213" s="398" t="s">
        <v>3</v>
      </c>
      <c r="D213" s="400">
        <v>1</v>
      </c>
      <c r="E213" s="465"/>
    </row>
    <row r="214" spans="1:11">
      <c r="A214" s="403" t="s">
        <v>1013</v>
      </c>
      <c r="B214" s="401" t="s">
        <v>109</v>
      </c>
      <c r="C214" s="398" t="s">
        <v>3</v>
      </c>
      <c r="D214" s="400">
        <v>1</v>
      </c>
      <c r="E214" s="465"/>
    </row>
    <row r="215" spans="1:11">
      <c r="A215" s="403" t="s">
        <v>1014</v>
      </c>
      <c r="B215" s="401" t="s">
        <v>105</v>
      </c>
      <c r="C215" s="398" t="s">
        <v>3</v>
      </c>
      <c r="D215" s="400">
        <v>1</v>
      </c>
      <c r="E215" s="451"/>
    </row>
    <row r="216" spans="1:11">
      <c r="A216" s="403" t="s">
        <v>1015</v>
      </c>
      <c r="B216" s="401" t="s">
        <v>107</v>
      </c>
      <c r="C216" s="398" t="s">
        <v>3</v>
      </c>
      <c r="D216" s="400">
        <v>1</v>
      </c>
      <c r="E216" s="447"/>
    </row>
    <row r="217" spans="1:11">
      <c r="A217" s="442" t="s">
        <v>1016</v>
      </c>
      <c r="B217" s="443" t="s">
        <v>75</v>
      </c>
      <c r="C217" s="442"/>
      <c r="D217" s="444"/>
      <c r="E217" s="445"/>
    </row>
    <row r="218" spans="1:11" ht="27.6">
      <c r="A218" s="398" t="s">
        <v>1017</v>
      </c>
      <c r="B218" s="401" t="s">
        <v>80</v>
      </c>
      <c r="C218" s="398" t="s">
        <v>3</v>
      </c>
      <c r="D218" s="400">
        <v>1</v>
      </c>
      <c r="E218" s="447"/>
    </row>
    <row r="219" spans="1:11" ht="27.6">
      <c r="A219" s="398" t="s">
        <v>1018</v>
      </c>
      <c r="B219" s="401" t="s">
        <v>1019</v>
      </c>
      <c r="C219" s="398" t="s">
        <v>3</v>
      </c>
      <c r="D219" s="400">
        <v>1</v>
      </c>
      <c r="E219" s="447"/>
    </row>
    <row r="220" spans="1:11" ht="27.6">
      <c r="A220" s="398" t="s">
        <v>1020</v>
      </c>
      <c r="B220" s="401" t="s">
        <v>1021</v>
      </c>
      <c r="C220" s="398" t="s">
        <v>3</v>
      </c>
      <c r="D220" s="400">
        <v>1</v>
      </c>
      <c r="E220" s="447"/>
      <c r="F220" s="418"/>
      <c r="G220" s="423"/>
      <c r="H220" s="418"/>
      <c r="I220" s="424"/>
      <c r="J220" s="425"/>
      <c r="K220" s="426"/>
    </row>
    <row r="221" spans="1:11">
      <c r="A221" s="398" t="s">
        <v>1022</v>
      </c>
      <c r="B221" s="401" t="s">
        <v>1023</v>
      </c>
      <c r="C221" s="398" t="s">
        <v>3</v>
      </c>
      <c r="D221" s="400">
        <v>1</v>
      </c>
      <c r="E221" s="447"/>
      <c r="F221" s="418"/>
      <c r="G221" s="429"/>
      <c r="H221" s="430"/>
      <c r="I221" s="431"/>
      <c r="J221" s="432"/>
      <c r="K221" s="428"/>
    </row>
    <row r="222" spans="1:11">
      <c r="A222" s="442" t="s">
        <v>1010</v>
      </c>
      <c r="B222" s="443" t="s">
        <v>72</v>
      </c>
      <c r="C222" s="442"/>
      <c r="D222" s="444"/>
      <c r="E222" s="445"/>
      <c r="F222" s="418"/>
      <c r="G222" s="430"/>
      <c r="H222" s="430"/>
      <c r="I222" s="431"/>
      <c r="J222" s="428"/>
      <c r="K222" s="428"/>
    </row>
    <row r="223" spans="1:11">
      <c r="A223" s="442" t="s">
        <v>1024</v>
      </c>
      <c r="B223" s="443" t="s">
        <v>1025</v>
      </c>
      <c r="C223" s="442"/>
      <c r="D223" s="444"/>
      <c r="E223" s="445"/>
      <c r="F223" s="418"/>
      <c r="G223" s="430"/>
      <c r="H223" s="433"/>
      <c r="I223" s="427"/>
      <c r="J223" s="432"/>
      <c r="K223" s="428"/>
    </row>
    <row r="224" spans="1:11">
      <c r="A224" s="403" t="s">
        <v>609</v>
      </c>
      <c r="B224" s="401" t="s">
        <v>1026</v>
      </c>
      <c r="C224" s="398" t="s">
        <v>3</v>
      </c>
      <c r="D224" s="416">
        <v>1</v>
      </c>
      <c r="E224" s="447"/>
      <c r="F224" s="418"/>
      <c r="G224" s="430"/>
      <c r="H224" s="433"/>
      <c r="I224" s="434"/>
      <c r="J224" s="432"/>
      <c r="K224" s="428"/>
    </row>
    <row r="225" spans="1:11">
      <c r="A225" s="403" t="s">
        <v>1027</v>
      </c>
      <c r="B225" s="401" t="s">
        <v>1028</v>
      </c>
      <c r="C225" s="398" t="s">
        <v>3</v>
      </c>
      <c r="D225" s="416">
        <v>1</v>
      </c>
      <c r="E225" s="447"/>
      <c r="F225" s="418"/>
      <c r="G225" s="430"/>
      <c r="H225" s="433"/>
      <c r="I225" s="434"/>
      <c r="J225" s="432"/>
      <c r="K225" s="428"/>
    </row>
    <row r="226" spans="1:11">
      <c r="A226" s="403" t="s">
        <v>1029</v>
      </c>
      <c r="B226" s="401" t="s">
        <v>1030</v>
      </c>
      <c r="C226" s="398" t="s">
        <v>3</v>
      </c>
      <c r="D226" s="416">
        <v>1</v>
      </c>
      <c r="E226" s="447"/>
      <c r="F226" s="418"/>
      <c r="G226" s="381"/>
      <c r="H226" s="381"/>
      <c r="I226" s="434"/>
      <c r="J226" s="432"/>
      <c r="K226" s="428"/>
    </row>
    <row r="227" spans="1:11">
      <c r="A227" s="403" t="s">
        <v>1031</v>
      </c>
      <c r="B227" s="401" t="s">
        <v>1032</v>
      </c>
      <c r="C227" s="398" t="s">
        <v>3</v>
      </c>
      <c r="D227" s="416">
        <v>1</v>
      </c>
      <c r="E227" s="447"/>
      <c r="F227" s="418"/>
      <c r="G227" s="430"/>
      <c r="H227" s="433"/>
      <c r="I227" s="434"/>
      <c r="J227" s="428"/>
      <c r="K227" s="428"/>
    </row>
    <row r="228" spans="1:11" ht="15">
      <c r="A228" s="463" t="s">
        <v>965</v>
      </c>
      <c r="B228" s="579" t="s">
        <v>1033</v>
      </c>
      <c r="C228" s="579"/>
      <c r="D228" s="579"/>
      <c r="E228" s="464"/>
    </row>
    <row r="229" spans="1:11" ht="30">
      <c r="A229" s="442" t="s">
        <v>0</v>
      </c>
      <c r="B229" s="443" t="s">
        <v>967</v>
      </c>
      <c r="C229" s="442" t="s">
        <v>3</v>
      </c>
      <c r="D229" s="444" t="s">
        <v>839</v>
      </c>
      <c r="E229" s="576" t="s">
        <v>840</v>
      </c>
    </row>
    <row r="230" spans="1:11">
      <c r="A230" s="442" t="s">
        <v>1034</v>
      </c>
      <c r="B230" s="443" t="s">
        <v>827</v>
      </c>
      <c r="C230" s="442"/>
      <c r="D230" s="444"/>
      <c r="E230" s="445"/>
    </row>
    <row r="231" spans="1:11">
      <c r="A231" s="403" t="s">
        <v>1035</v>
      </c>
      <c r="B231" s="401" t="s">
        <v>831</v>
      </c>
      <c r="C231" s="398" t="s">
        <v>67</v>
      </c>
      <c r="D231" s="416">
        <v>1</v>
      </c>
      <c r="E231" s="447"/>
    </row>
    <row r="232" spans="1:11">
      <c r="A232" s="403" t="s">
        <v>1036</v>
      </c>
      <c r="B232" s="401" t="s">
        <v>834</v>
      </c>
      <c r="C232" s="398" t="s">
        <v>67</v>
      </c>
      <c r="D232" s="416">
        <v>1</v>
      </c>
      <c r="E232" s="447"/>
    </row>
    <row r="233" spans="1:11">
      <c r="A233" s="403" t="s">
        <v>837</v>
      </c>
      <c r="B233" s="401" t="s">
        <v>836</v>
      </c>
      <c r="C233" s="398" t="s">
        <v>67</v>
      </c>
      <c r="D233" s="416">
        <v>1</v>
      </c>
      <c r="E233" s="447"/>
    </row>
    <row r="234" spans="1:11">
      <c r="A234" s="442" t="s">
        <v>1037</v>
      </c>
      <c r="B234" s="443" t="s">
        <v>14</v>
      </c>
      <c r="C234" s="442"/>
      <c r="D234" s="444"/>
      <c r="E234" s="445"/>
    </row>
    <row r="235" spans="1:11">
      <c r="A235" s="403" t="s">
        <v>1038</v>
      </c>
      <c r="B235" s="401" t="s">
        <v>1039</v>
      </c>
      <c r="C235" s="398" t="s">
        <v>326</v>
      </c>
      <c r="D235" s="416">
        <v>1</v>
      </c>
      <c r="E235" s="447"/>
    </row>
    <row r="236" spans="1:11">
      <c r="A236" s="403" t="s">
        <v>1040</v>
      </c>
      <c r="B236" s="401" t="s">
        <v>526</v>
      </c>
      <c r="C236" s="398" t="s">
        <v>326</v>
      </c>
      <c r="D236" s="400">
        <v>1</v>
      </c>
      <c r="E236" s="447"/>
    </row>
    <row r="237" spans="1:11">
      <c r="A237" s="403" t="s">
        <v>1041</v>
      </c>
      <c r="B237" s="401" t="s">
        <v>529</v>
      </c>
      <c r="C237" s="398" t="s">
        <v>326</v>
      </c>
      <c r="D237" s="400">
        <v>1</v>
      </c>
      <c r="E237" s="447"/>
    </row>
    <row r="238" spans="1:11">
      <c r="A238" s="403" t="s">
        <v>1042</v>
      </c>
      <c r="B238" s="401" t="s">
        <v>608</v>
      </c>
      <c r="C238" s="398" t="s">
        <v>326</v>
      </c>
      <c r="D238" s="416">
        <v>1</v>
      </c>
      <c r="E238" s="447"/>
    </row>
    <row r="239" spans="1:11">
      <c r="A239" s="403" t="s">
        <v>1043</v>
      </c>
      <c r="B239" s="401" t="s">
        <v>582</v>
      </c>
      <c r="C239" s="398" t="s">
        <v>326</v>
      </c>
      <c r="D239" s="416">
        <v>1</v>
      </c>
      <c r="E239" s="447"/>
    </row>
    <row r="240" spans="1:11">
      <c r="A240" s="403" t="s">
        <v>1044</v>
      </c>
      <c r="B240" s="401" t="s">
        <v>595</v>
      </c>
      <c r="C240" s="398" t="s">
        <v>326</v>
      </c>
      <c r="D240" s="416">
        <v>1</v>
      </c>
      <c r="E240" s="447"/>
    </row>
    <row r="241" spans="1:7">
      <c r="A241" s="403" t="s">
        <v>1045</v>
      </c>
      <c r="B241" s="401" t="s">
        <v>590</v>
      </c>
      <c r="C241" s="398" t="s">
        <v>326</v>
      </c>
      <c r="D241" s="416">
        <v>1</v>
      </c>
      <c r="E241" s="447"/>
    </row>
    <row r="242" spans="1:7">
      <c r="A242" s="403" t="s">
        <v>1046</v>
      </c>
      <c r="B242" s="401" t="s">
        <v>506</v>
      </c>
      <c r="C242" s="398" t="s">
        <v>326</v>
      </c>
      <c r="D242" s="400">
        <v>1</v>
      </c>
      <c r="E242" s="447"/>
      <c r="G242" s="220"/>
    </row>
    <row r="243" spans="1:7">
      <c r="A243" s="403" t="s">
        <v>1047</v>
      </c>
      <c r="B243" s="401" t="s">
        <v>553</v>
      </c>
      <c r="C243" s="398" t="s">
        <v>326</v>
      </c>
      <c r="D243" s="400">
        <v>1</v>
      </c>
      <c r="E243" s="447"/>
      <c r="F243" s="220"/>
    </row>
    <row r="244" spans="1:7">
      <c r="A244" s="403" t="s">
        <v>1048</v>
      </c>
      <c r="B244" s="401" t="s">
        <v>503</v>
      </c>
      <c r="C244" s="398" t="s">
        <v>326</v>
      </c>
      <c r="D244" s="400">
        <v>1</v>
      </c>
      <c r="E244" s="447"/>
      <c r="F244" s="220"/>
    </row>
    <row r="245" spans="1:7">
      <c r="A245" s="442" t="s">
        <v>1049</v>
      </c>
      <c r="B245" s="443" t="s">
        <v>1050</v>
      </c>
      <c r="C245" s="442"/>
      <c r="D245" s="444"/>
      <c r="E245" s="445"/>
    </row>
    <row r="246" spans="1:7">
      <c r="A246" s="398" t="s">
        <v>1051</v>
      </c>
      <c r="B246" s="401" t="s">
        <v>691</v>
      </c>
      <c r="C246" s="398" t="s">
        <v>326</v>
      </c>
      <c r="D246" s="400">
        <v>1</v>
      </c>
      <c r="E246" s="447"/>
    </row>
    <row r="247" spans="1:7">
      <c r="A247" s="398" t="s">
        <v>1052</v>
      </c>
      <c r="B247" s="401" t="s">
        <v>689</v>
      </c>
      <c r="C247" s="398" t="s">
        <v>326</v>
      </c>
      <c r="D247" s="416">
        <v>1</v>
      </c>
      <c r="E247" s="447"/>
    </row>
    <row r="248" spans="1:7">
      <c r="A248" s="398" t="s">
        <v>1053</v>
      </c>
      <c r="B248" s="401" t="s">
        <v>687</v>
      </c>
      <c r="C248" s="398" t="s">
        <v>326</v>
      </c>
      <c r="D248" s="416">
        <v>1</v>
      </c>
      <c r="E248" s="447"/>
    </row>
    <row r="249" spans="1:7">
      <c r="A249" s="398" t="s">
        <v>1054</v>
      </c>
      <c r="B249" s="401" t="s">
        <v>685</v>
      </c>
      <c r="C249" s="398" t="s">
        <v>326</v>
      </c>
      <c r="D249" s="416">
        <v>1</v>
      </c>
      <c r="E249" s="447"/>
    </row>
    <row r="250" spans="1:7" ht="19.5" customHeight="1">
      <c r="A250" s="463" t="s">
        <v>965</v>
      </c>
      <c r="B250" s="579" t="s">
        <v>1055</v>
      </c>
      <c r="C250" s="579"/>
      <c r="D250" s="579"/>
      <c r="E250" s="464"/>
    </row>
    <row r="251" spans="1:7" ht="30">
      <c r="A251" s="442" t="s">
        <v>0</v>
      </c>
      <c r="B251" s="443" t="s">
        <v>967</v>
      </c>
      <c r="C251" s="442" t="s">
        <v>3</v>
      </c>
      <c r="D251" s="444" t="s">
        <v>839</v>
      </c>
      <c r="E251" s="576" t="s">
        <v>840</v>
      </c>
    </row>
    <row r="252" spans="1:7">
      <c r="A252" s="442" t="s">
        <v>773</v>
      </c>
      <c r="B252" s="443" t="s">
        <v>774</v>
      </c>
      <c r="C252" s="442"/>
      <c r="D252" s="444"/>
      <c r="E252" s="445"/>
    </row>
    <row r="253" spans="1:7">
      <c r="A253" s="403" t="s">
        <v>778</v>
      </c>
      <c r="B253" s="401" t="s">
        <v>1056</v>
      </c>
      <c r="C253" s="398" t="s">
        <v>783</v>
      </c>
      <c r="D253" s="400">
        <v>1</v>
      </c>
      <c r="E253" s="466"/>
    </row>
    <row r="254" spans="1:7" s="220" customFormat="1">
      <c r="A254" s="403" t="s">
        <v>784</v>
      </c>
      <c r="B254" s="401" t="s">
        <v>787</v>
      </c>
      <c r="C254" s="398" t="s">
        <v>783</v>
      </c>
      <c r="D254" s="400">
        <v>1</v>
      </c>
      <c r="E254" s="447"/>
    </row>
    <row r="255" spans="1:7">
      <c r="A255" s="453" t="s">
        <v>785</v>
      </c>
      <c r="B255" s="449" t="s">
        <v>1057</v>
      </c>
      <c r="C255" s="453" t="s">
        <v>123</v>
      </c>
      <c r="D255" s="400">
        <v>1</v>
      </c>
      <c r="E255" s="447"/>
    </row>
    <row r="256" spans="1:7">
      <c r="A256" s="403" t="s">
        <v>788</v>
      </c>
      <c r="B256" s="401" t="s">
        <v>790</v>
      </c>
      <c r="C256" s="398" t="s">
        <v>783</v>
      </c>
      <c r="D256" s="400">
        <v>1</v>
      </c>
      <c r="E256" s="447"/>
    </row>
    <row r="257" spans="1:5">
      <c r="A257" s="403" t="s">
        <v>791</v>
      </c>
      <c r="B257" s="401" t="s">
        <v>795</v>
      </c>
      <c r="C257" s="398" t="s">
        <v>794</v>
      </c>
      <c r="D257" s="400">
        <v>1</v>
      </c>
      <c r="E257" s="447"/>
    </row>
    <row r="258" spans="1:5">
      <c r="A258" s="403" t="s">
        <v>796</v>
      </c>
      <c r="B258" s="401" t="s">
        <v>798</v>
      </c>
      <c r="C258" s="398" t="s">
        <v>85</v>
      </c>
      <c r="D258" s="400">
        <v>1</v>
      </c>
      <c r="E258" s="447"/>
    </row>
    <row r="259" spans="1:5">
      <c r="A259" s="403" t="s">
        <v>799</v>
      </c>
      <c r="B259" s="401" t="s">
        <v>1058</v>
      </c>
      <c r="C259" s="398" t="s">
        <v>794</v>
      </c>
      <c r="D259" s="400">
        <v>1</v>
      </c>
      <c r="E259" s="447"/>
    </row>
    <row r="260" spans="1:5">
      <c r="A260" s="403" t="s">
        <v>801</v>
      </c>
      <c r="B260" s="401" t="s">
        <v>803</v>
      </c>
      <c r="C260" s="398" t="s">
        <v>67</v>
      </c>
      <c r="D260" s="400">
        <v>1</v>
      </c>
      <c r="E260" s="447"/>
    </row>
    <row r="261" spans="1:5">
      <c r="A261" s="403" t="s">
        <v>808</v>
      </c>
      <c r="B261" s="401" t="s">
        <v>809</v>
      </c>
      <c r="C261" s="398" t="s">
        <v>810</v>
      </c>
      <c r="D261" s="400">
        <v>1</v>
      </c>
      <c r="E261" s="447"/>
    </row>
    <row r="262" spans="1:5">
      <c r="A262" s="442" t="s">
        <v>612</v>
      </c>
      <c r="B262" s="443" t="s">
        <v>1059</v>
      </c>
      <c r="C262" s="442"/>
      <c r="D262" s="444"/>
      <c r="E262" s="445"/>
    </row>
    <row r="263" spans="1:5">
      <c r="A263" s="398" t="s">
        <v>615</v>
      </c>
      <c r="B263" s="401" t="s">
        <v>1060</v>
      </c>
      <c r="C263" s="398" t="s">
        <v>140</v>
      </c>
      <c r="D263" s="400">
        <v>1</v>
      </c>
      <c r="E263" s="447"/>
    </row>
    <row r="264" spans="1:5">
      <c r="A264" s="398" t="s">
        <v>618</v>
      </c>
      <c r="B264" s="401" t="s">
        <v>1061</v>
      </c>
      <c r="C264" s="398" t="s">
        <v>140</v>
      </c>
      <c r="D264" s="400">
        <v>1</v>
      </c>
      <c r="E264" s="447"/>
    </row>
    <row r="265" spans="1:5" ht="15">
      <c r="A265" s="463" t="s">
        <v>1062</v>
      </c>
      <c r="B265" s="579" t="s">
        <v>1063</v>
      </c>
      <c r="C265" s="579"/>
      <c r="D265" s="579"/>
      <c r="E265" s="464"/>
    </row>
    <row r="266" spans="1:5">
      <c r="A266" s="398" t="s">
        <v>267</v>
      </c>
      <c r="B266" s="401" t="s">
        <v>268</v>
      </c>
      <c r="C266" s="403" t="s">
        <v>123</v>
      </c>
      <c r="D266" s="467">
        <v>1</v>
      </c>
      <c r="E266" s="447"/>
    </row>
    <row r="267" spans="1:5">
      <c r="A267" s="442" t="s">
        <v>1064</v>
      </c>
      <c r="B267" s="443" t="s">
        <v>1065</v>
      </c>
      <c r="C267" s="442"/>
      <c r="D267" s="444"/>
      <c r="E267" s="445"/>
    </row>
    <row r="268" spans="1:5">
      <c r="A268" s="398" t="s">
        <v>1066</v>
      </c>
      <c r="B268" s="401" t="s">
        <v>291</v>
      </c>
      <c r="C268" s="403" t="s">
        <v>123</v>
      </c>
      <c r="D268" s="467">
        <v>1</v>
      </c>
      <c r="E268" s="447"/>
    </row>
    <row r="269" spans="1:5">
      <c r="A269" s="398" t="s">
        <v>1067</v>
      </c>
      <c r="B269" s="401" t="s">
        <v>309</v>
      </c>
      <c r="C269" s="403" t="s">
        <v>123</v>
      </c>
      <c r="D269" s="467">
        <v>1</v>
      </c>
      <c r="E269" s="447"/>
    </row>
    <row r="270" spans="1:5">
      <c r="A270" s="398" t="s">
        <v>1068</v>
      </c>
      <c r="B270" s="401" t="s">
        <v>311</v>
      </c>
      <c r="C270" s="403" t="s">
        <v>123</v>
      </c>
      <c r="D270" s="467">
        <v>1</v>
      </c>
      <c r="E270" s="447"/>
    </row>
    <row r="271" spans="1:5">
      <c r="A271" s="398" t="s">
        <v>1069</v>
      </c>
      <c r="B271" s="401" t="s">
        <v>313</v>
      </c>
      <c r="C271" s="403" t="s">
        <v>123</v>
      </c>
      <c r="D271" s="467">
        <v>1</v>
      </c>
      <c r="E271" s="447"/>
    </row>
    <row r="272" spans="1:5">
      <c r="A272" s="398" t="s">
        <v>1070</v>
      </c>
      <c r="B272" s="401" t="s">
        <v>315</v>
      </c>
      <c r="C272" s="403" t="s">
        <v>123</v>
      </c>
      <c r="D272" s="467">
        <v>1</v>
      </c>
      <c r="E272" s="447"/>
    </row>
    <row r="273" spans="1:5">
      <c r="A273" s="398" t="s">
        <v>1071</v>
      </c>
      <c r="B273" s="401" t="s">
        <v>317</v>
      </c>
      <c r="C273" s="403" t="s">
        <v>123</v>
      </c>
      <c r="D273" s="467">
        <v>1</v>
      </c>
      <c r="E273" s="447"/>
    </row>
    <row r="274" spans="1:5">
      <c r="A274" s="442" t="s">
        <v>1072</v>
      </c>
      <c r="B274" s="443" t="s">
        <v>1073</v>
      </c>
      <c r="C274" s="442"/>
      <c r="D274" s="444"/>
      <c r="E274" s="445"/>
    </row>
    <row r="275" spans="1:5">
      <c r="A275" s="403" t="s">
        <v>1074</v>
      </c>
      <c r="B275" s="401" t="s">
        <v>319</v>
      </c>
      <c r="C275" s="403" t="s">
        <v>175</v>
      </c>
      <c r="D275" s="467">
        <v>1</v>
      </c>
      <c r="E275" s="447"/>
    </row>
    <row r="276" spans="1:5">
      <c r="A276" s="403" t="s">
        <v>1075</v>
      </c>
      <c r="B276" s="401" t="s">
        <v>321</v>
      </c>
      <c r="C276" s="403" t="s">
        <v>175</v>
      </c>
      <c r="D276" s="467">
        <v>1</v>
      </c>
      <c r="E276" s="447"/>
    </row>
    <row r="277" spans="1:5">
      <c r="A277" s="403" t="s">
        <v>1076</v>
      </c>
      <c r="B277" s="401" t="s">
        <v>270</v>
      </c>
      <c r="C277" s="403" t="s">
        <v>175</v>
      </c>
      <c r="D277" s="467">
        <v>1</v>
      </c>
      <c r="E277" s="447"/>
    </row>
    <row r="278" spans="1:5">
      <c r="A278" s="403" t="s">
        <v>1077</v>
      </c>
      <c r="B278" s="401" t="s">
        <v>272</v>
      </c>
      <c r="C278" s="403" t="s">
        <v>175</v>
      </c>
      <c r="D278" s="467">
        <v>1</v>
      </c>
      <c r="E278" s="447"/>
    </row>
    <row r="279" spans="1:5">
      <c r="A279" s="403" t="s">
        <v>1078</v>
      </c>
      <c r="B279" s="401" t="s">
        <v>274</v>
      </c>
      <c r="C279" s="403" t="s">
        <v>175</v>
      </c>
      <c r="D279" s="467">
        <v>1</v>
      </c>
      <c r="E279" s="447"/>
    </row>
    <row r="280" spans="1:5">
      <c r="A280" s="403" t="s">
        <v>1079</v>
      </c>
      <c r="B280" s="401" t="s">
        <v>276</v>
      </c>
      <c r="C280" s="403" t="s">
        <v>175</v>
      </c>
      <c r="D280" s="467">
        <v>1</v>
      </c>
      <c r="E280" s="447"/>
    </row>
    <row r="281" spans="1:5">
      <c r="A281" s="403" t="s">
        <v>1080</v>
      </c>
      <c r="B281" s="401" t="s">
        <v>278</v>
      </c>
      <c r="C281" s="403" t="s">
        <v>123</v>
      </c>
      <c r="D281" s="467">
        <v>1</v>
      </c>
      <c r="E281" s="447"/>
    </row>
    <row r="282" spans="1:5">
      <c r="A282" s="403" t="s">
        <v>1081</v>
      </c>
      <c r="B282" s="401" t="s">
        <v>280</v>
      </c>
      <c r="C282" s="403" t="s">
        <v>281</v>
      </c>
      <c r="D282" s="467">
        <v>1</v>
      </c>
      <c r="E282" s="447"/>
    </row>
    <row r="283" spans="1:5">
      <c r="A283" s="403" t="s">
        <v>1082</v>
      </c>
      <c r="B283" s="401" t="s">
        <v>283</v>
      </c>
      <c r="C283" s="403" t="s">
        <v>281</v>
      </c>
      <c r="D283" s="467">
        <v>1</v>
      </c>
      <c r="E283" s="447"/>
    </row>
    <row r="284" spans="1:5">
      <c r="A284" s="403" t="s">
        <v>1083</v>
      </c>
      <c r="B284" s="401" t="s">
        <v>285</v>
      </c>
      <c r="C284" s="403" t="s">
        <v>123</v>
      </c>
      <c r="D284" s="467">
        <v>1</v>
      </c>
      <c r="E284" s="447"/>
    </row>
    <row r="285" spans="1:5">
      <c r="A285" s="403" t="s">
        <v>1084</v>
      </c>
      <c r="B285" s="401" t="s">
        <v>287</v>
      </c>
      <c r="C285" s="403" t="s">
        <v>123</v>
      </c>
      <c r="D285" s="467">
        <v>1</v>
      </c>
      <c r="E285" s="447"/>
    </row>
    <row r="286" spans="1:5">
      <c r="A286" s="403" t="s">
        <v>1085</v>
      </c>
      <c r="B286" s="401" t="s">
        <v>289</v>
      </c>
      <c r="C286" s="403" t="s">
        <v>123</v>
      </c>
      <c r="D286" s="467">
        <v>1</v>
      </c>
      <c r="E286" s="447"/>
    </row>
    <row r="287" spans="1:5">
      <c r="A287" s="442" t="s">
        <v>1086</v>
      </c>
      <c r="B287" s="443" t="s">
        <v>1087</v>
      </c>
      <c r="C287" s="442"/>
      <c r="D287" s="444"/>
      <c r="E287" s="445"/>
    </row>
    <row r="288" spans="1:5">
      <c r="A288" s="403" t="s">
        <v>1088</v>
      </c>
      <c r="B288" s="401" t="s">
        <v>280</v>
      </c>
      <c r="C288" s="403" t="s">
        <v>281</v>
      </c>
      <c r="D288" s="467">
        <v>1</v>
      </c>
      <c r="E288" s="447"/>
    </row>
    <row r="289" spans="1:5">
      <c r="A289" s="403" t="s">
        <v>1089</v>
      </c>
      <c r="B289" s="401" t="s">
        <v>294</v>
      </c>
      <c r="C289" s="403" t="s">
        <v>123</v>
      </c>
      <c r="D289" s="467">
        <v>1</v>
      </c>
      <c r="E289" s="447"/>
    </row>
    <row r="290" spans="1:5">
      <c r="A290" s="403" t="s">
        <v>1090</v>
      </c>
      <c r="B290" s="401" t="s">
        <v>296</v>
      </c>
      <c r="C290" s="403" t="s">
        <v>175</v>
      </c>
      <c r="D290" s="467">
        <v>1</v>
      </c>
      <c r="E290" s="447"/>
    </row>
    <row r="291" spans="1:5">
      <c r="A291" s="403" t="s">
        <v>1091</v>
      </c>
      <c r="B291" s="401" t="s">
        <v>298</v>
      </c>
      <c r="C291" s="403" t="s">
        <v>175</v>
      </c>
      <c r="D291" s="467">
        <v>1</v>
      </c>
      <c r="E291" s="447"/>
    </row>
    <row r="292" spans="1:5">
      <c r="A292" s="403" t="s">
        <v>1092</v>
      </c>
      <c r="B292" s="401" t="s">
        <v>300</v>
      </c>
      <c r="C292" s="403" t="s">
        <v>301</v>
      </c>
      <c r="D292" s="467">
        <v>1</v>
      </c>
      <c r="E292" s="447"/>
    </row>
    <row r="293" spans="1:5">
      <c r="A293" s="403" t="s">
        <v>1093</v>
      </c>
      <c r="B293" s="401" t="s">
        <v>303</v>
      </c>
      <c r="C293" s="403" t="s">
        <v>123</v>
      </c>
      <c r="D293" s="467">
        <v>1</v>
      </c>
      <c r="E293" s="447"/>
    </row>
    <row r="294" spans="1:5">
      <c r="A294" s="403" t="s">
        <v>1094</v>
      </c>
      <c r="B294" s="401" t="s">
        <v>305</v>
      </c>
      <c r="C294" s="403" t="s">
        <v>123</v>
      </c>
      <c r="D294" s="467">
        <v>1</v>
      </c>
      <c r="E294" s="447"/>
    </row>
    <row r="295" spans="1:5">
      <c r="A295" s="403" t="s">
        <v>1095</v>
      </c>
      <c r="B295" s="401" t="s">
        <v>287</v>
      </c>
      <c r="C295" s="403" t="s">
        <v>123</v>
      </c>
      <c r="D295" s="467">
        <v>1</v>
      </c>
      <c r="E295" s="447"/>
    </row>
  </sheetData>
  <mergeCells count="6">
    <mergeCell ref="A2:E2"/>
    <mergeCell ref="B228:D228"/>
    <mergeCell ref="B250:D250"/>
    <mergeCell ref="B265:D265"/>
    <mergeCell ref="B154:D154"/>
    <mergeCell ref="B194:D194"/>
  </mergeCells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29"/>
  <sheetViews>
    <sheetView topLeftCell="A315" zoomScale="85" zoomScaleNormal="85" workbookViewId="0">
      <selection activeCell="F18" sqref="F18"/>
    </sheetView>
  </sheetViews>
  <sheetFormatPr defaultColWidth="11.42578125" defaultRowHeight="14.45"/>
  <cols>
    <col min="1" max="1" width="17.28515625" bestFit="1" customWidth="1"/>
    <col min="2" max="2" width="60" bestFit="1" customWidth="1"/>
    <col min="3" max="3" width="7.5703125" style="210" customWidth="1"/>
    <col min="4" max="4" width="11.140625" style="494" bestFit="1" customWidth="1"/>
    <col min="5" max="5" width="17" style="422" bestFit="1" customWidth="1"/>
    <col min="6" max="6" width="16.42578125" style="422" bestFit="1" customWidth="1"/>
  </cols>
  <sheetData>
    <row r="2" spans="1:9">
      <c r="A2" s="498" t="s">
        <v>1096</v>
      </c>
      <c r="B2" s="498"/>
      <c r="C2" s="499"/>
      <c r="D2" s="500"/>
      <c r="E2" s="501"/>
      <c r="F2" s="501"/>
      <c r="G2" s="583"/>
      <c r="H2" s="583"/>
      <c r="I2" s="583"/>
    </row>
    <row r="3" spans="1:9">
      <c r="A3" s="393"/>
      <c r="B3" s="395"/>
      <c r="C3" s="470"/>
      <c r="D3" s="471"/>
      <c r="E3" s="437"/>
      <c r="F3" s="437"/>
      <c r="G3" s="375"/>
      <c r="H3" s="375"/>
      <c r="I3" s="375"/>
    </row>
    <row r="4" spans="1:9">
      <c r="A4" s="438" t="s">
        <v>0</v>
      </c>
      <c r="B4" s="439" t="s">
        <v>2</v>
      </c>
      <c r="C4" s="438" t="s">
        <v>3</v>
      </c>
      <c r="D4" s="441" t="s">
        <v>839</v>
      </c>
      <c r="E4" s="441" t="s">
        <v>1097</v>
      </c>
      <c r="F4" s="441" t="s">
        <v>1098</v>
      </c>
      <c r="G4" s="375"/>
      <c r="H4" s="375"/>
      <c r="I4" s="375"/>
    </row>
    <row r="5" spans="1:9">
      <c r="A5" s="442" t="s">
        <v>715</v>
      </c>
      <c r="B5" s="443" t="s">
        <v>716</v>
      </c>
      <c r="C5" s="442"/>
      <c r="D5" s="472"/>
      <c r="E5" s="445"/>
      <c r="F5" s="445" t="s">
        <v>1099</v>
      </c>
      <c r="G5" s="375"/>
      <c r="H5" s="375"/>
      <c r="I5" s="375"/>
    </row>
    <row r="6" spans="1:9">
      <c r="A6" s="398" t="s">
        <v>717</v>
      </c>
      <c r="B6" s="399" t="s">
        <v>720</v>
      </c>
      <c r="C6" s="398" t="s">
        <v>123</v>
      </c>
      <c r="D6" s="473">
        <v>1</v>
      </c>
      <c r="E6" s="446"/>
      <c r="F6" s="474">
        <f>+E6*D6</f>
        <v>0</v>
      </c>
      <c r="G6" s="375"/>
      <c r="H6" s="375"/>
      <c r="I6" s="375"/>
    </row>
    <row r="7" spans="1:9" ht="27.6">
      <c r="A7" s="398" t="s">
        <v>734</v>
      </c>
      <c r="B7" s="401" t="s">
        <v>851</v>
      </c>
      <c r="C7" s="398" t="s">
        <v>852</v>
      </c>
      <c r="D7" s="473">
        <v>86.73</v>
      </c>
      <c r="E7" s="446"/>
      <c r="F7" s="474">
        <f t="shared" ref="F7:F11" si="0">+E7*D7</f>
        <v>0</v>
      </c>
      <c r="G7" s="375"/>
      <c r="H7" s="375"/>
      <c r="I7" s="375"/>
    </row>
    <row r="8" spans="1:9">
      <c r="A8" s="398" t="s">
        <v>726</v>
      </c>
      <c r="B8" s="401" t="s">
        <v>741</v>
      </c>
      <c r="C8" s="398" t="s">
        <v>140</v>
      </c>
      <c r="D8" s="473">
        <v>1</v>
      </c>
      <c r="E8" s="446"/>
      <c r="F8" s="474">
        <f t="shared" si="0"/>
        <v>0</v>
      </c>
      <c r="G8" s="375"/>
      <c r="H8" s="375"/>
      <c r="I8" s="375"/>
    </row>
    <row r="9" spans="1:9">
      <c r="A9" s="511"/>
      <c r="B9" s="512" t="s">
        <v>1100</v>
      </c>
      <c r="C9" s="513"/>
      <c r="D9" s="514"/>
      <c r="E9" s="515"/>
      <c r="F9" s="516"/>
      <c r="G9" s="375"/>
      <c r="H9" s="375"/>
      <c r="I9" s="375"/>
    </row>
    <row r="10" spans="1:9">
      <c r="A10" s="442" t="s">
        <v>692</v>
      </c>
      <c r="B10" s="443" t="s">
        <v>693</v>
      </c>
      <c r="C10" s="442"/>
      <c r="D10" s="472"/>
      <c r="E10" s="445"/>
      <c r="F10" s="445"/>
      <c r="G10" s="583"/>
      <c r="H10" s="583"/>
      <c r="I10" s="583"/>
    </row>
    <row r="11" spans="1:9" ht="27.6">
      <c r="A11" s="403" t="s">
        <v>694</v>
      </c>
      <c r="B11" s="401" t="s">
        <v>695</v>
      </c>
      <c r="C11" s="398" t="s">
        <v>864</v>
      </c>
      <c r="D11" s="473">
        <v>35.11</v>
      </c>
      <c r="E11" s="446"/>
      <c r="F11" s="474">
        <f t="shared" si="0"/>
        <v>0</v>
      </c>
      <c r="G11" s="583"/>
      <c r="H11" s="583"/>
      <c r="I11" s="583"/>
    </row>
    <row r="12" spans="1:9">
      <c r="A12" s="511"/>
      <c r="B12" s="512" t="s">
        <v>1101</v>
      </c>
      <c r="C12" s="513"/>
      <c r="D12" s="514"/>
      <c r="E12" s="515"/>
      <c r="F12" s="516"/>
      <c r="G12" s="583"/>
      <c r="H12" s="583"/>
      <c r="I12" s="583"/>
    </row>
    <row r="13" spans="1:9">
      <c r="A13" s="442" t="s">
        <v>1102</v>
      </c>
      <c r="B13" s="443" t="s">
        <v>32</v>
      </c>
      <c r="C13" s="442"/>
      <c r="D13" s="472"/>
      <c r="E13" s="445"/>
      <c r="F13" s="445" t="s">
        <v>1099</v>
      </c>
      <c r="G13" s="583"/>
      <c r="H13" s="583"/>
      <c r="I13" s="583"/>
    </row>
    <row r="14" spans="1:9">
      <c r="A14" s="442" t="s">
        <v>53</v>
      </c>
      <c r="B14" s="443" t="s">
        <v>54</v>
      </c>
      <c r="C14" s="442"/>
      <c r="D14" s="472"/>
      <c r="E14" s="445"/>
      <c r="F14" s="445"/>
      <c r="G14" s="583"/>
      <c r="H14" s="583"/>
      <c r="I14" s="583"/>
    </row>
    <row r="15" spans="1:9" ht="15">
      <c r="A15" s="404" t="s">
        <v>56</v>
      </c>
      <c r="B15" s="401" t="s">
        <v>57</v>
      </c>
      <c r="C15" s="398" t="s">
        <v>864</v>
      </c>
      <c r="D15" s="473">
        <v>0.45</v>
      </c>
      <c r="E15" s="446"/>
      <c r="F15" s="474">
        <f>+E15*D15</f>
        <v>0</v>
      </c>
      <c r="G15" s="583"/>
      <c r="H15" s="583"/>
      <c r="I15" s="583"/>
    </row>
    <row r="16" spans="1:9" ht="15">
      <c r="A16" s="404" t="s">
        <v>59</v>
      </c>
      <c r="B16" s="401" t="s">
        <v>60</v>
      </c>
      <c r="C16" s="398" t="s">
        <v>864</v>
      </c>
      <c r="D16" s="473">
        <v>17.059999999999999</v>
      </c>
      <c r="E16" s="446"/>
      <c r="F16" s="474">
        <f t="shared" ref="F16:F70" si="1">+E16*D16</f>
        <v>0</v>
      </c>
      <c r="G16" s="583"/>
      <c r="H16" s="583"/>
      <c r="I16" s="583"/>
    </row>
    <row r="17" spans="1:9" ht="15">
      <c r="A17" s="404" t="s">
        <v>62</v>
      </c>
      <c r="B17" s="401" t="s">
        <v>63</v>
      </c>
      <c r="C17" s="398" t="s">
        <v>864</v>
      </c>
      <c r="D17" s="473">
        <v>6.79</v>
      </c>
      <c r="E17" s="446"/>
      <c r="F17" s="474">
        <f t="shared" si="1"/>
        <v>0</v>
      </c>
      <c r="G17" s="583"/>
      <c r="H17" s="583"/>
      <c r="I17" s="583"/>
    </row>
    <row r="18" spans="1:9">
      <c r="A18" s="404" t="s">
        <v>65</v>
      </c>
      <c r="B18" s="401" t="s">
        <v>66</v>
      </c>
      <c r="C18" s="398" t="s">
        <v>67</v>
      </c>
      <c r="D18" s="473">
        <v>10.3</v>
      </c>
      <c r="E18" s="446"/>
      <c r="F18" s="474">
        <f t="shared" si="1"/>
        <v>0</v>
      </c>
      <c r="G18" s="583"/>
      <c r="H18" s="583"/>
      <c r="I18" s="583"/>
    </row>
    <row r="19" spans="1:9" ht="15">
      <c r="A19" s="404" t="s">
        <v>69</v>
      </c>
      <c r="B19" s="401" t="s">
        <v>70</v>
      </c>
      <c r="C19" s="398" t="s">
        <v>864</v>
      </c>
      <c r="D19" s="473">
        <v>0.92</v>
      </c>
      <c r="E19" s="446"/>
      <c r="F19" s="474">
        <f t="shared" si="1"/>
        <v>0</v>
      </c>
      <c r="G19" s="583"/>
      <c r="H19" s="583"/>
      <c r="I19" s="583"/>
    </row>
    <row r="20" spans="1:9">
      <c r="A20" s="442" t="s">
        <v>34</v>
      </c>
      <c r="B20" s="443" t="s">
        <v>35</v>
      </c>
      <c r="C20" s="442"/>
      <c r="D20" s="472"/>
      <c r="E20" s="445"/>
      <c r="F20" s="445"/>
      <c r="G20" s="583"/>
      <c r="H20" s="583"/>
      <c r="I20" s="583"/>
    </row>
    <row r="21" spans="1:9" ht="15">
      <c r="A21" s="398" t="s">
        <v>37</v>
      </c>
      <c r="B21" s="401" t="s">
        <v>38</v>
      </c>
      <c r="C21" s="398" t="s">
        <v>864</v>
      </c>
      <c r="D21" s="473">
        <v>1.41</v>
      </c>
      <c r="E21" s="446"/>
      <c r="F21" s="474">
        <f t="shared" si="1"/>
        <v>0</v>
      </c>
      <c r="G21" s="583"/>
      <c r="H21" s="583"/>
      <c r="I21" s="583"/>
    </row>
    <row r="22" spans="1:9" ht="15">
      <c r="A22" s="398" t="s">
        <v>41</v>
      </c>
      <c r="B22" s="401" t="s">
        <v>42</v>
      </c>
      <c r="C22" s="398" t="s">
        <v>864</v>
      </c>
      <c r="D22" s="473">
        <v>0.35</v>
      </c>
      <c r="E22" s="446"/>
      <c r="F22" s="474">
        <f t="shared" si="1"/>
        <v>0</v>
      </c>
      <c r="G22" s="583"/>
      <c r="H22" s="583"/>
      <c r="I22" s="583"/>
    </row>
    <row r="23" spans="1:9" ht="15">
      <c r="A23" s="398" t="s">
        <v>44</v>
      </c>
      <c r="B23" s="401" t="s">
        <v>866</v>
      </c>
      <c r="C23" s="398" t="s">
        <v>864</v>
      </c>
      <c r="D23" s="473">
        <v>2.27</v>
      </c>
      <c r="E23" s="446"/>
      <c r="F23" s="474">
        <f t="shared" si="1"/>
        <v>0</v>
      </c>
      <c r="G23" s="583"/>
      <c r="H23" s="583"/>
      <c r="I23" s="583"/>
    </row>
    <row r="24" spans="1:9" ht="15">
      <c r="A24" s="398" t="s">
        <v>47</v>
      </c>
      <c r="B24" s="401" t="s">
        <v>48</v>
      </c>
      <c r="C24" s="398" t="s">
        <v>864</v>
      </c>
      <c r="D24" s="473">
        <v>1.76</v>
      </c>
      <c r="E24" s="446"/>
      <c r="F24" s="474">
        <f t="shared" si="1"/>
        <v>0</v>
      </c>
      <c r="G24" s="583"/>
      <c r="H24" s="583"/>
      <c r="I24" s="583"/>
    </row>
    <row r="25" spans="1:9" ht="15">
      <c r="A25" s="398" t="s">
        <v>50</v>
      </c>
      <c r="B25" s="408" t="s">
        <v>867</v>
      </c>
      <c r="C25" s="398" t="s">
        <v>864</v>
      </c>
      <c r="D25" s="473">
        <v>2.5</v>
      </c>
      <c r="E25" s="446"/>
      <c r="F25" s="474">
        <f t="shared" si="1"/>
        <v>0</v>
      </c>
      <c r="G25" s="583"/>
      <c r="H25" s="583"/>
      <c r="I25" s="583"/>
    </row>
    <row r="26" spans="1:9">
      <c r="A26" s="511"/>
      <c r="B26" s="512" t="s">
        <v>1103</v>
      </c>
      <c r="C26" s="513"/>
      <c r="D26" s="514"/>
      <c r="E26" s="515"/>
      <c r="F26" s="516"/>
      <c r="G26" s="583"/>
      <c r="H26" s="583"/>
      <c r="I26" s="583"/>
    </row>
    <row r="27" spans="1:9">
      <c r="A27" s="442" t="s">
        <v>390</v>
      </c>
      <c r="B27" s="443" t="s">
        <v>391</v>
      </c>
      <c r="C27" s="442"/>
      <c r="D27" s="472"/>
      <c r="E27" s="445"/>
      <c r="F27" s="445"/>
      <c r="G27" s="583"/>
      <c r="H27" s="583"/>
      <c r="I27" s="583"/>
    </row>
    <row r="28" spans="1:9" ht="15">
      <c r="A28" s="398" t="s">
        <v>392</v>
      </c>
      <c r="B28" s="401" t="s">
        <v>868</v>
      </c>
      <c r="C28" s="398" t="s">
        <v>852</v>
      </c>
      <c r="D28" s="473">
        <v>5.95</v>
      </c>
      <c r="E28" s="446"/>
      <c r="F28" s="474">
        <f t="shared" si="1"/>
        <v>0</v>
      </c>
      <c r="G28" s="583"/>
      <c r="H28" s="583"/>
      <c r="I28" s="583"/>
    </row>
    <row r="29" spans="1:9" ht="15">
      <c r="A29" s="398" t="s">
        <v>395</v>
      </c>
      <c r="B29" s="401" t="s">
        <v>397</v>
      </c>
      <c r="C29" s="398" t="s">
        <v>864</v>
      </c>
      <c r="D29" s="473">
        <v>29.76</v>
      </c>
      <c r="E29" s="446"/>
      <c r="F29" s="474">
        <f t="shared" si="1"/>
        <v>0</v>
      </c>
      <c r="G29" s="583"/>
      <c r="H29" s="583"/>
      <c r="I29" s="583"/>
    </row>
    <row r="30" spans="1:9" ht="15">
      <c r="A30" s="398" t="s">
        <v>398</v>
      </c>
      <c r="B30" s="401" t="s">
        <v>400</v>
      </c>
      <c r="C30" s="398" t="s">
        <v>852</v>
      </c>
      <c r="D30" s="473">
        <v>97.01</v>
      </c>
      <c r="E30" s="446"/>
      <c r="F30" s="474">
        <f t="shared" si="1"/>
        <v>0</v>
      </c>
      <c r="G30" s="583"/>
      <c r="H30" s="583"/>
      <c r="I30" s="583"/>
    </row>
    <row r="31" spans="1:9">
      <c r="A31" s="511"/>
      <c r="B31" s="512" t="s">
        <v>1104</v>
      </c>
      <c r="C31" s="513"/>
      <c r="D31" s="514"/>
      <c r="E31" s="515"/>
      <c r="F31" s="516"/>
      <c r="G31" s="583"/>
      <c r="H31" s="583"/>
      <c r="I31" s="583"/>
    </row>
    <row r="32" spans="1:9">
      <c r="A32" s="442" t="s">
        <v>378</v>
      </c>
      <c r="B32" s="443" t="s">
        <v>379</v>
      </c>
      <c r="C32" s="442"/>
      <c r="D32" s="472"/>
      <c r="E32" s="445"/>
      <c r="F32" s="445"/>
      <c r="G32" s="583"/>
      <c r="H32" s="583"/>
      <c r="I32" s="583"/>
    </row>
    <row r="33" spans="1:9">
      <c r="A33" s="398" t="s">
        <v>380</v>
      </c>
      <c r="B33" s="401" t="s">
        <v>382</v>
      </c>
      <c r="C33" s="398" t="s">
        <v>67</v>
      </c>
      <c r="D33" s="473">
        <v>24.9</v>
      </c>
      <c r="E33" s="446"/>
      <c r="F33" s="474">
        <f t="shared" si="1"/>
        <v>0</v>
      </c>
      <c r="G33" s="583"/>
      <c r="H33" s="583"/>
      <c r="I33" s="583"/>
    </row>
    <row r="34" spans="1:9" ht="15">
      <c r="A34" s="398" t="s">
        <v>383</v>
      </c>
      <c r="B34" s="401" t="s">
        <v>385</v>
      </c>
      <c r="C34" s="398" t="s">
        <v>852</v>
      </c>
      <c r="D34" s="473">
        <v>101.26</v>
      </c>
      <c r="E34" s="446"/>
      <c r="F34" s="474">
        <f t="shared" si="1"/>
        <v>0</v>
      </c>
      <c r="G34" s="583"/>
      <c r="H34" s="583"/>
      <c r="I34" s="583"/>
    </row>
    <row r="35" spans="1:9" ht="15">
      <c r="A35" s="398" t="s">
        <v>387</v>
      </c>
      <c r="B35" s="401" t="s">
        <v>389</v>
      </c>
      <c r="C35" s="398" t="s">
        <v>852</v>
      </c>
      <c r="D35" s="473">
        <v>33.299999999999997</v>
      </c>
      <c r="E35" s="446"/>
      <c r="F35" s="474">
        <f t="shared" si="1"/>
        <v>0</v>
      </c>
      <c r="G35" s="583"/>
      <c r="H35" s="583"/>
      <c r="I35" s="583"/>
    </row>
    <row r="36" spans="1:9">
      <c r="A36" s="511"/>
      <c r="B36" s="512" t="s">
        <v>1105</v>
      </c>
      <c r="C36" s="513"/>
      <c r="D36" s="514"/>
      <c r="E36" s="515"/>
      <c r="F36" s="516"/>
      <c r="G36" s="583"/>
      <c r="H36" s="583"/>
      <c r="I36" s="583"/>
    </row>
    <row r="37" spans="1:9">
      <c r="A37" s="442" t="s">
        <v>633</v>
      </c>
      <c r="B37" s="443" t="s">
        <v>634</v>
      </c>
      <c r="C37" s="442"/>
      <c r="D37" s="472"/>
      <c r="E37" s="445"/>
      <c r="F37" s="445"/>
      <c r="G37" s="583"/>
      <c r="H37" s="583"/>
      <c r="I37" s="583"/>
    </row>
    <row r="38" spans="1:9">
      <c r="A38" s="442" t="s">
        <v>1106</v>
      </c>
      <c r="B38" s="443" t="s">
        <v>639</v>
      </c>
      <c r="C38" s="442"/>
      <c r="D38" s="472"/>
      <c r="E38" s="445"/>
      <c r="F38" s="445"/>
      <c r="G38" s="583"/>
      <c r="H38" s="583"/>
      <c r="I38" s="583"/>
    </row>
    <row r="39" spans="1:9" ht="27.6">
      <c r="A39" s="404" t="s">
        <v>643</v>
      </c>
      <c r="B39" s="401" t="s">
        <v>644</v>
      </c>
      <c r="C39" s="398" t="s">
        <v>852</v>
      </c>
      <c r="D39" s="473">
        <v>111.35</v>
      </c>
      <c r="E39" s="446"/>
      <c r="F39" s="474">
        <f t="shared" si="1"/>
        <v>0</v>
      </c>
      <c r="G39" s="583"/>
      <c r="H39" s="583"/>
      <c r="I39" s="583"/>
    </row>
    <row r="40" spans="1:9" ht="15">
      <c r="A40" s="404" t="s">
        <v>646</v>
      </c>
      <c r="B40" s="401" t="s">
        <v>647</v>
      </c>
      <c r="C40" s="398" t="s">
        <v>852</v>
      </c>
      <c r="D40" s="473">
        <v>167.86</v>
      </c>
      <c r="E40" s="446"/>
      <c r="F40" s="474">
        <f t="shared" si="1"/>
        <v>0</v>
      </c>
      <c r="G40" s="583"/>
      <c r="H40" s="583"/>
      <c r="I40" s="583"/>
    </row>
    <row r="41" spans="1:9">
      <c r="A41" s="404" t="s">
        <v>651</v>
      </c>
      <c r="B41" s="399" t="s">
        <v>652</v>
      </c>
      <c r="C41" s="398" t="s">
        <v>67</v>
      </c>
      <c r="D41" s="473">
        <v>33.25</v>
      </c>
      <c r="E41" s="446"/>
      <c r="F41" s="474">
        <f t="shared" si="1"/>
        <v>0</v>
      </c>
      <c r="G41" s="583"/>
      <c r="H41" s="583"/>
      <c r="I41" s="583"/>
    </row>
    <row r="42" spans="1:9">
      <c r="A42" s="442" t="s">
        <v>874</v>
      </c>
      <c r="B42" s="443" t="s">
        <v>664</v>
      </c>
      <c r="C42" s="442"/>
      <c r="D42" s="472"/>
      <c r="E42" s="445"/>
      <c r="F42" s="445"/>
      <c r="G42" s="583"/>
      <c r="H42" s="583"/>
      <c r="I42" s="583"/>
    </row>
    <row r="43" spans="1:9" ht="15">
      <c r="A43" s="404" t="s">
        <v>668</v>
      </c>
      <c r="B43" s="399" t="s">
        <v>875</v>
      </c>
      <c r="C43" s="398" t="s">
        <v>852</v>
      </c>
      <c r="D43" s="473">
        <v>99.32</v>
      </c>
      <c r="E43" s="446"/>
      <c r="F43" s="474">
        <f t="shared" si="1"/>
        <v>0</v>
      </c>
      <c r="G43" s="583"/>
      <c r="H43" s="583"/>
      <c r="I43" s="583"/>
    </row>
    <row r="44" spans="1:9" ht="15">
      <c r="A44" s="404" t="s">
        <v>671</v>
      </c>
      <c r="B44" s="401" t="s">
        <v>876</v>
      </c>
      <c r="C44" s="398" t="s">
        <v>852</v>
      </c>
      <c r="D44" s="473">
        <v>13.14</v>
      </c>
      <c r="E44" s="446"/>
      <c r="F44" s="474">
        <f t="shared" si="1"/>
        <v>0</v>
      </c>
      <c r="G44" s="583"/>
      <c r="H44" s="583"/>
      <c r="I44" s="583"/>
    </row>
    <row r="45" spans="1:9">
      <c r="A45" s="511"/>
      <c r="B45" s="512" t="s">
        <v>1107</v>
      </c>
      <c r="C45" s="513"/>
      <c r="D45" s="514"/>
      <c r="E45" s="515"/>
      <c r="F45" s="516"/>
      <c r="G45" s="583"/>
      <c r="H45" s="583"/>
      <c r="I45" s="583"/>
    </row>
    <row r="46" spans="1:9">
      <c r="A46" s="442" t="s">
        <v>329</v>
      </c>
      <c r="B46" s="443" t="s">
        <v>331</v>
      </c>
      <c r="C46" s="442"/>
      <c r="D46" s="472"/>
      <c r="E46" s="445"/>
      <c r="F46" s="445"/>
      <c r="G46" s="583"/>
      <c r="H46" s="583"/>
      <c r="I46" s="583"/>
    </row>
    <row r="47" spans="1:9">
      <c r="A47" s="442" t="s">
        <v>877</v>
      </c>
      <c r="B47" s="443" t="s">
        <v>878</v>
      </c>
      <c r="C47" s="442"/>
      <c r="D47" s="472"/>
      <c r="E47" s="445"/>
      <c r="F47" s="445"/>
      <c r="G47" s="583"/>
      <c r="H47" s="583"/>
      <c r="I47" s="583"/>
    </row>
    <row r="48" spans="1:9" ht="27.6">
      <c r="A48" s="398" t="s">
        <v>879</v>
      </c>
      <c r="B48" s="401" t="s">
        <v>880</v>
      </c>
      <c r="C48" s="404" t="s">
        <v>175</v>
      </c>
      <c r="D48" s="473">
        <v>3</v>
      </c>
      <c r="E48" s="446"/>
      <c r="F48" s="474">
        <f t="shared" si="1"/>
        <v>0</v>
      </c>
      <c r="G48" s="583"/>
      <c r="H48" s="583"/>
      <c r="I48" s="583"/>
    </row>
    <row r="49" spans="1:9" ht="27.6">
      <c r="A49" s="398" t="s">
        <v>881</v>
      </c>
      <c r="B49" s="401" t="s">
        <v>882</v>
      </c>
      <c r="C49" s="404" t="s">
        <v>175</v>
      </c>
      <c r="D49" s="473">
        <v>4</v>
      </c>
      <c r="E49" s="446"/>
      <c r="F49" s="474">
        <f t="shared" si="1"/>
        <v>0</v>
      </c>
      <c r="G49" s="583"/>
      <c r="H49" s="583"/>
      <c r="I49" s="583"/>
    </row>
    <row r="50" spans="1:9">
      <c r="A50" s="442" t="s">
        <v>883</v>
      </c>
      <c r="B50" s="443" t="s">
        <v>884</v>
      </c>
      <c r="C50" s="442"/>
      <c r="D50" s="472"/>
      <c r="E50" s="445"/>
      <c r="F50" s="445"/>
      <c r="G50" s="583"/>
      <c r="H50" s="583"/>
      <c r="I50" s="583"/>
    </row>
    <row r="51" spans="1:9" ht="27.6">
      <c r="A51" s="398" t="s">
        <v>885</v>
      </c>
      <c r="B51" s="401" t="s">
        <v>886</v>
      </c>
      <c r="C51" s="398" t="s">
        <v>887</v>
      </c>
      <c r="D51" s="473">
        <v>1</v>
      </c>
      <c r="E51" s="446"/>
      <c r="F51" s="474">
        <f t="shared" si="1"/>
        <v>0</v>
      </c>
      <c r="G51" s="583"/>
      <c r="H51" s="583"/>
      <c r="I51" s="583"/>
    </row>
    <row r="52" spans="1:9">
      <c r="A52" s="511"/>
      <c r="B52" s="512" t="s">
        <v>1108</v>
      </c>
      <c r="C52" s="513"/>
      <c r="D52" s="514"/>
      <c r="E52" s="515"/>
      <c r="F52" s="516"/>
      <c r="G52" s="583"/>
      <c r="H52" s="583"/>
      <c r="I52" s="583"/>
    </row>
    <row r="53" spans="1:9">
      <c r="A53" s="442" t="s">
        <v>701</v>
      </c>
      <c r="B53" s="443" t="s">
        <v>702</v>
      </c>
      <c r="C53" s="442"/>
      <c r="D53" s="472"/>
      <c r="E53" s="445"/>
      <c r="F53" s="445"/>
      <c r="G53" s="583"/>
      <c r="H53" s="583"/>
      <c r="I53" s="583"/>
    </row>
    <row r="54" spans="1:9" ht="15">
      <c r="A54" s="398" t="s">
        <v>703</v>
      </c>
      <c r="B54" s="401" t="s">
        <v>705</v>
      </c>
      <c r="C54" s="398" t="s">
        <v>175</v>
      </c>
      <c r="D54" s="473">
        <v>5</v>
      </c>
      <c r="E54" s="475"/>
      <c r="F54" s="474">
        <f t="shared" si="1"/>
        <v>0</v>
      </c>
      <c r="G54" s="583"/>
      <c r="H54" s="583"/>
      <c r="I54" s="583"/>
    </row>
    <row r="55" spans="1:9">
      <c r="A55" s="398" t="s">
        <v>706</v>
      </c>
      <c r="B55" s="401" t="s">
        <v>708</v>
      </c>
      <c r="C55" s="398" t="s">
        <v>67</v>
      </c>
      <c r="D55" s="473">
        <v>143.5</v>
      </c>
      <c r="E55" s="446"/>
      <c r="F55" s="474">
        <f t="shared" si="1"/>
        <v>0</v>
      </c>
      <c r="G55" s="583"/>
      <c r="H55" s="583"/>
      <c r="I55" s="583"/>
    </row>
    <row r="56" spans="1:9" ht="15">
      <c r="A56" s="398" t="s">
        <v>709</v>
      </c>
      <c r="B56" s="401" t="s">
        <v>711</v>
      </c>
      <c r="C56" s="398" t="s">
        <v>67</v>
      </c>
      <c r="D56" s="473">
        <v>30.5</v>
      </c>
      <c r="E56" s="475"/>
      <c r="F56" s="474">
        <f t="shared" si="1"/>
        <v>0</v>
      </c>
      <c r="G56" s="583"/>
      <c r="H56" s="583"/>
      <c r="I56" s="583"/>
    </row>
    <row r="57" spans="1:9">
      <c r="A57" s="442" t="s">
        <v>898</v>
      </c>
      <c r="B57" s="443" t="s">
        <v>27</v>
      </c>
      <c r="C57" s="442"/>
      <c r="D57" s="472"/>
      <c r="E57" s="445"/>
      <c r="F57" s="445"/>
      <c r="G57" s="583"/>
      <c r="H57" s="583"/>
      <c r="I57" s="583"/>
    </row>
    <row r="58" spans="1:9" ht="15">
      <c r="A58" s="398" t="s">
        <v>112</v>
      </c>
      <c r="B58" s="401" t="s">
        <v>714</v>
      </c>
      <c r="C58" s="398" t="s">
        <v>852</v>
      </c>
      <c r="D58" s="473">
        <v>185.38</v>
      </c>
      <c r="E58" s="475"/>
      <c r="F58" s="474">
        <f t="shared" si="1"/>
        <v>0</v>
      </c>
      <c r="G58" s="583"/>
      <c r="H58" s="583"/>
      <c r="I58" s="583"/>
    </row>
    <row r="59" spans="1:9" ht="16.149999999999999" customHeight="1">
      <c r="A59" s="511"/>
      <c r="B59" s="512" t="s">
        <v>1109</v>
      </c>
      <c r="C59" s="513"/>
      <c r="D59" s="514"/>
      <c r="E59" s="515"/>
      <c r="F59" s="516"/>
      <c r="G59" s="583"/>
      <c r="H59" s="583"/>
      <c r="I59" s="583"/>
    </row>
    <row r="60" spans="1:9">
      <c r="A60" s="442" t="s">
        <v>903</v>
      </c>
      <c r="B60" s="443" t="s">
        <v>904</v>
      </c>
      <c r="C60" s="442"/>
      <c r="D60" s="472"/>
      <c r="E60" s="445"/>
      <c r="F60" s="445"/>
      <c r="G60" s="583"/>
      <c r="H60" s="583"/>
      <c r="I60" s="583"/>
    </row>
    <row r="61" spans="1:9" ht="30">
      <c r="A61" s="398" t="s">
        <v>905</v>
      </c>
      <c r="B61" s="401" t="s">
        <v>259</v>
      </c>
      <c r="C61" s="398" t="s">
        <v>873</v>
      </c>
      <c r="D61" s="473">
        <v>70.08</v>
      </c>
      <c r="E61" s="475"/>
      <c r="F61" s="474">
        <f t="shared" si="1"/>
        <v>0</v>
      </c>
      <c r="G61" s="583"/>
      <c r="H61" s="583"/>
      <c r="I61" s="583"/>
    </row>
    <row r="62" spans="1:9">
      <c r="A62" s="511"/>
      <c r="B62" s="512" t="s">
        <v>1110</v>
      </c>
      <c r="C62" s="513"/>
      <c r="D62" s="514"/>
      <c r="E62" s="515"/>
      <c r="F62" s="516"/>
      <c r="G62" s="583"/>
      <c r="H62" s="583"/>
      <c r="I62" s="583"/>
    </row>
    <row r="63" spans="1:9">
      <c r="A63" s="442" t="s">
        <v>906</v>
      </c>
      <c r="B63" s="443" t="s">
        <v>907</v>
      </c>
      <c r="C63" s="442"/>
      <c r="D63" s="472"/>
      <c r="E63" s="445"/>
      <c r="F63" s="445"/>
      <c r="G63" s="583"/>
      <c r="H63" s="583"/>
      <c r="I63" s="583"/>
    </row>
    <row r="64" spans="1:9">
      <c r="A64" s="403" t="s">
        <v>908</v>
      </c>
      <c r="B64" s="401" t="s">
        <v>909</v>
      </c>
      <c r="C64" s="403" t="s">
        <v>873</v>
      </c>
      <c r="D64" s="476">
        <v>98.37</v>
      </c>
      <c r="E64" s="446"/>
      <c r="F64" s="474">
        <f t="shared" si="1"/>
        <v>0</v>
      </c>
      <c r="G64" s="583"/>
      <c r="H64" s="583"/>
      <c r="I64" s="583"/>
    </row>
    <row r="65" spans="1:9">
      <c r="A65" s="403" t="s">
        <v>910</v>
      </c>
      <c r="B65" s="401" t="s">
        <v>911</v>
      </c>
      <c r="C65" s="403" t="s">
        <v>873</v>
      </c>
      <c r="D65" s="476">
        <v>12.98</v>
      </c>
      <c r="E65" s="446"/>
      <c r="F65" s="474">
        <f t="shared" si="1"/>
        <v>0</v>
      </c>
      <c r="G65" s="583"/>
      <c r="H65" s="583"/>
      <c r="I65" s="583"/>
    </row>
    <row r="66" spans="1:9">
      <c r="A66" s="403" t="s">
        <v>912</v>
      </c>
      <c r="B66" s="401" t="s">
        <v>913</v>
      </c>
      <c r="C66" s="403" t="s">
        <v>873</v>
      </c>
      <c r="D66" s="476">
        <v>31.84</v>
      </c>
      <c r="E66" s="446"/>
      <c r="F66" s="474">
        <f t="shared" si="1"/>
        <v>0</v>
      </c>
      <c r="G66" s="583"/>
      <c r="H66" s="583"/>
      <c r="I66" s="583"/>
    </row>
    <row r="67" spans="1:9">
      <c r="A67" s="403" t="s">
        <v>914</v>
      </c>
      <c r="B67" s="401" t="s">
        <v>915</v>
      </c>
      <c r="C67" s="403" t="s">
        <v>873</v>
      </c>
      <c r="D67" s="476">
        <v>6.96</v>
      </c>
      <c r="E67" s="446"/>
      <c r="F67" s="474">
        <f t="shared" si="1"/>
        <v>0</v>
      </c>
      <c r="G67" s="583"/>
      <c r="H67" s="583"/>
      <c r="I67" s="583"/>
    </row>
    <row r="68" spans="1:9">
      <c r="A68" s="402"/>
      <c r="B68" s="407" t="s">
        <v>1111</v>
      </c>
      <c r="C68" s="402"/>
      <c r="D68" s="477"/>
      <c r="E68" s="417"/>
      <c r="F68" s="474"/>
      <c r="G68" s="583"/>
      <c r="H68" s="583"/>
      <c r="I68" s="583"/>
    </row>
    <row r="69" spans="1:9">
      <c r="A69" s="442" t="s">
        <v>925</v>
      </c>
      <c r="B69" s="443" t="s">
        <v>624</v>
      </c>
      <c r="C69" s="442"/>
      <c r="D69" s="472"/>
      <c r="E69" s="445"/>
      <c r="F69" s="445"/>
      <c r="G69" s="583"/>
      <c r="H69" s="583"/>
      <c r="I69" s="583"/>
    </row>
    <row r="70" spans="1:9">
      <c r="A70" s="398" t="s">
        <v>926</v>
      </c>
      <c r="B70" s="408" t="s">
        <v>627</v>
      </c>
      <c r="C70" s="398" t="s">
        <v>67</v>
      </c>
      <c r="D70" s="473">
        <v>29.5</v>
      </c>
      <c r="E70" s="446"/>
      <c r="F70" s="474">
        <f t="shared" si="1"/>
        <v>0</v>
      </c>
      <c r="G70" s="583"/>
      <c r="H70" s="583"/>
      <c r="I70" s="583"/>
    </row>
    <row r="71" spans="1:9">
      <c r="A71" s="511"/>
      <c r="B71" s="512" t="s">
        <v>1112</v>
      </c>
      <c r="C71" s="513"/>
      <c r="D71" s="514"/>
      <c r="E71" s="515"/>
      <c r="F71" s="516">
        <f>SUM(F6:F70)</f>
        <v>0</v>
      </c>
      <c r="G71" s="583"/>
      <c r="H71" s="583"/>
      <c r="I71" s="583"/>
    </row>
    <row r="72" spans="1:9">
      <c r="A72" s="409"/>
      <c r="B72" s="409"/>
      <c r="C72" s="404"/>
      <c r="D72" s="478"/>
      <c r="E72" s="479"/>
      <c r="F72" s="479"/>
      <c r="G72" s="583"/>
      <c r="H72" s="583"/>
      <c r="I72" s="583"/>
    </row>
    <row r="73" spans="1:9">
      <c r="A73" s="498" t="s">
        <v>1113</v>
      </c>
      <c r="B73" s="498"/>
      <c r="C73" s="499"/>
      <c r="D73" s="500"/>
      <c r="E73" s="501"/>
      <c r="F73" s="501"/>
      <c r="G73" s="583"/>
      <c r="H73" s="583"/>
      <c r="I73" s="583"/>
    </row>
    <row r="74" spans="1:9">
      <c r="A74" s="409"/>
      <c r="B74" s="399"/>
      <c r="C74" s="404"/>
      <c r="D74" s="478"/>
      <c r="E74" s="479"/>
      <c r="F74" s="479"/>
      <c r="G74" s="583"/>
      <c r="H74" s="583"/>
      <c r="I74" s="583"/>
    </row>
    <row r="75" spans="1:9" ht="15.75" customHeight="1">
      <c r="A75" s="438" t="s">
        <v>0</v>
      </c>
      <c r="B75" s="439" t="s">
        <v>2</v>
      </c>
      <c r="C75" s="438" t="s">
        <v>3</v>
      </c>
      <c r="D75" s="441" t="s">
        <v>839</v>
      </c>
      <c r="E75" s="441" t="s">
        <v>9</v>
      </c>
      <c r="F75" s="441" t="s">
        <v>1098</v>
      </c>
      <c r="G75" s="583"/>
      <c r="H75" s="583"/>
      <c r="I75" s="583"/>
    </row>
    <row r="76" spans="1:9">
      <c r="A76" s="442" t="s">
        <v>715</v>
      </c>
      <c r="B76" s="443" t="s">
        <v>716</v>
      </c>
      <c r="C76" s="442"/>
      <c r="D76" s="472"/>
      <c r="E76" s="445"/>
      <c r="F76" s="445" t="s">
        <v>1099</v>
      </c>
      <c r="G76" s="583"/>
      <c r="H76" s="583"/>
      <c r="I76" s="583"/>
    </row>
    <row r="77" spans="1:9" ht="15.75" customHeight="1">
      <c r="A77" s="398" t="s">
        <v>717</v>
      </c>
      <c r="B77" s="399" t="s">
        <v>720</v>
      </c>
      <c r="C77" s="580" t="s">
        <v>719</v>
      </c>
      <c r="D77" s="580"/>
      <c r="E77" s="580"/>
      <c r="F77" s="580"/>
      <c r="G77" s="583"/>
      <c r="H77" s="583"/>
      <c r="I77" s="583"/>
    </row>
    <row r="78" spans="1:9">
      <c r="A78" s="442" t="s">
        <v>403</v>
      </c>
      <c r="B78" s="443" t="s">
        <v>404</v>
      </c>
      <c r="C78" s="442"/>
      <c r="D78" s="472"/>
      <c r="E78" s="445"/>
      <c r="F78" s="445"/>
      <c r="G78" s="583"/>
      <c r="H78" s="583"/>
      <c r="I78" s="583"/>
    </row>
    <row r="79" spans="1:9">
      <c r="A79" s="403" t="s">
        <v>908</v>
      </c>
      <c r="B79" s="401" t="s">
        <v>909</v>
      </c>
      <c r="C79" s="403" t="s">
        <v>873</v>
      </c>
      <c r="D79" s="476">
        <v>254.6</v>
      </c>
      <c r="E79" s="446"/>
      <c r="F79" s="474">
        <f>+E79*D79</f>
        <v>0</v>
      </c>
      <c r="G79" s="583"/>
      <c r="H79" s="583"/>
      <c r="I79" s="583"/>
    </row>
    <row r="80" spans="1:9" ht="15">
      <c r="A80" s="403" t="s">
        <v>912</v>
      </c>
      <c r="B80" s="401" t="s">
        <v>422</v>
      </c>
      <c r="C80" s="398" t="s">
        <v>852</v>
      </c>
      <c r="D80" s="473">
        <v>49.74</v>
      </c>
      <c r="E80" s="446"/>
      <c r="F80" s="474">
        <f t="shared" ref="F80:F81" si="2">+E80*D80</f>
        <v>0</v>
      </c>
      <c r="G80" s="583"/>
      <c r="H80" s="583"/>
      <c r="I80" s="583"/>
    </row>
    <row r="81" spans="1:9" ht="15">
      <c r="A81" s="398" t="s">
        <v>916</v>
      </c>
      <c r="B81" s="401" t="s">
        <v>432</v>
      </c>
      <c r="C81" s="398" t="s">
        <v>852</v>
      </c>
      <c r="D81" s="473">
        <v>130.5</v>
      </c>
      <c r="E81" s="446"/>
      <c r="F81" s="474">
        <f t="shared" si="2"/>
        <v>0</v>
      </c>
      <c r="G81" s="583"/>
      <c r="H81" s="583"/>
      <c r="I81" s="583"/>
    </row>
    <row r="82" spans="1:9">
      <c r="A82" s="442" t="s">
        <v>128</v>
      </c>
      <c r="B82" s="443" t="s">
        <v>130</v>
      </c>
      <c r="C82" s="442"/>
      <c r="D82" s="472"/>
      <c r="E82" s="445"/>
      <c r="F82" s="445"/>
      <c r="G82" s="583"/>
      <c r="H82" s="583"/>
      <c r="I82" s="583"/>
    </row>
    <row r="83" spans="1:9" ht="29.25" customHeight="1">
      <c r="A83" s="405" t="s">
        <v>133</v>
      </c>
      <c r="B83" s="401" t="s">
        <v>139</v>
      </c>
      <c r="C83" s="397"/>
      <c r="D83" s="581" t="s">
        <v>1114</v>
      </c>
      <c r="E83" s="581"/>
      <c r="F83" s="581"/>
      <c r="G83" s="583"/>
      <c r="H83" s="583"/>
      <c r="I83" s="583"/>
    </row>
    <row r="84" spans="1:9">
      <c r="A84" s="511"/>
      <c r="B84" s="512" t="s">
        <v>1115</v>
      </c>
      <c r="C84" s="513"/>
      <c r="D84" s="514"/>
      <c r="E84" s="515"/>
      <c r="F84" s="516">
        <f>+F81+F80+F79</f>
        <v>0</v>
      </c>
      <c r="G84" s="583"/>
      <c r="H84" s="583"/>
      <c r="I84" s="583"/>
    </row>
    <row r="85" spans="1:9">
      <c r="A85" s="409"/>
      <c r="B85" s="409"/>
      <c r="C85" s="404"/>
      <c r="D85" s="478"/>
      <c r="E85" s="417"/>
      <c r="F85" s="480"/>
      <c r="G85" s="583"/>
      <c r="H85" s="583"/>
      <c r="I85" s="583"/>
    </row>
    <row r="86" spans="1:9">
      <c r="A86" s="495" t="s">
        <v>1116</v>
      </c>
      <c r="B86" s="495"/>
      <c r="C86" s="460"/>
      <c r="D86" s="496"/>
      <c r="E86" s="497"/>
      <c r="F86" s="497"/>
      <c r="G86" s="583"/>
      <c r="H86" s="583"/>
      <c r="I86" s="583"/>
    </row>
    <row r="87" spans="1:9">
      <c r="A87" s="409"/>
      <c r="B87" s="409"/>
      <c r="C87" s="404"/>
      <c r="D87" s="478"/>
      <c r="E87" s="479"/>
      <c r="F87" s="479"/>
      <c r="G87" s="583"/>
      <c r="H87" s="583"/>
      <c r="I87" s="583"/>
    </row>
    <row r="88" spans="1:9" ht="15.75" customHeight="1">
      <c r="A88" s="438" t="s">
        <v>0</v>
      </c>
      <c r="B88" s="439" t="s">
        <v>2</v>
      </c>
      <c r="C88" s="438" t="s">
        <v>3</v>
      </c>
      <c r="D88" s="441" t="s">
        <v>839</v>
      </c>
      <c r="E88" s="441" t="s">
        <v>9</v>
      </c>
      <c r="F88" s="441" t="s">
        <v>1098</v>
      </c>
      <c r="G88" s="583"/>
      <c r="H88" s="583"/>
      <c r="I88" s="583"/>
    </row>
    <row r="89" spans="1:9">
      <c r="A89" s="442" t="s">
        <v>715</v>
      </c>
      <c r="B89" s="443" t="s">
        <v>716</v>
      </c>
      <c r="C89" s="442"/>
      <c r="D89" s="472"/>
      <c r="E89" s="445"/>
      <c r="F89" s="445" t="s">
        <v>1099</v>
      </c>
      <c r="G89" s="583"/>
      <c r="H89" s="583"/>
      <c r="I89" s="583"/>
    </row>
    <row r="90" spans="1:9">
      <c r="A90" s="398" t="s">
        <v>717</v>
      </c>
      <c r="B90" s="399" t="s">
        <v>718</v>
      </c>
      <c r="C90" s="582" t="s">
        <v>1117</v>
      </c>
      <c r="D90" s="582"/>
      <c r="E90" s="582"/>
      <c r="F90" s="582"/>
      <c r="G90" s="583"/>
      <c r="H90" s="583"/>
      <c r="I90" s="583"/>
    </row>
    <row r="91" spans="1:9">
      <c r="A91" s="398" t="s">
        <v>723</v>
      </c>
      <c r="B91" s="401" t="s">
        <v>736</v>
      </c>
      <c r="C91" s="398" t="s">
        <v>140</v>
      </c>
      <c r="D91" s="473">
        <v>1</v>
      </c>
      <c r="E91" s="446"/>
      <c r="F91" s="474">
        <f>+E91*D91</f>
        <v>0</v>
      </c>
      <c r="G91" s="583"/>
      <c r="H91" s="583"/>
      <c r="I91" s="583"/>
    </row>
    <row r="92" spans="1:9">
      <c r="A92" s="398" t="s">
        <v>747</v>
      </c>
      <c r="B92" s="401" t="s">
        <v>730</v>
      </c>
      <c r="C92" s="398" t="s">
        <v>140</v>
      </c>
      <c r="D92" s="473">
        <v>1</v>
      </c>
      <c r="E92" s="446"/>
      <c r="F92" s="474">
        <f t="shared" ref="F92:F93" si="3">+E92*D92</f>
        <v>0</v>
      </c>
      <c r="G92" s="583"/>
      <c r="H92" s="583"/>
      <c r="I92" s="583"/>
    </row>
    <row r="93" spans="1:9">
      <c r="A93" s="398" t="s">
        <v>743</v>
      </c>
      <c r="B93" s="401" t="s">
        <v>725</v>
      </c>
      <c r="C93" s="398" t="s">
        <v>140</v>
      </c>
      <c r="D93" s="473">
        <v>1</v>
      </c>
      <c r="E93" s="446"/>
      <c r="F93" s="474">
        <f t="shared" si="3"/>
        <v>0</v>
      </c>
      <c r="G93" s="583"/>
      <c r="H93" s="583"/>
      <c r="I93" s="583"/>
    </row>
    <row r="94" spans="1:9">
      <c r="A94" s="442" t="s">
        <v>329</v>
      </c>
      <c r="B94" s="443" t="s">
        <v>331</v>
      </c>
      <c r="C94" s="442"/>
      <c r="D94" s="472"/>
      <c r="E94" s="445"/>
      <c r="F94" s="445"/>
      <c r="G94" s="583"/>
      <c r="H94" s="583"/>
      <c r="I94" s="583"/>
    </row>
    <row r="95" spans="1:9">
      <c r="A95" s="442" t="s">
        <v>883</v>
      </c>
      <c r="B95" s="443" t="s">
        <v>1118</v>
      </c>
      <c r="C95" s="442"/>
      <c r="D95" s="472"/>
      <c r="E95" s="445"/>
      <c r="F95" s="445"/>
      <c r="G95" s="583"/>
      <c r="H95" s="583"/>
      <c r="I95" s="583"/>
    </row>
    <row r="96" spans="1:9" ht="27.6">
      <c r="A96" s="398" t="s">
        <v>1119</v>
      </c>
      <c r="B96" s="401" t="s">
        <v>1120</v>
      </c>
      <c r="C96" s="398" t="s">
        <v>887</v>
      </c>
      <c r="D96" s="473">
        <v>32</v>
      </c>
      <c r="E96" s="446"/>
      <c r="F96" s="474">
        <f>+E96*D96</f>
        <v>0</v>
      </c>
      <c r="G96" s="583"/>
      <c r="H96" s="583"/>
      <c r="I96" s="583"/>
    </row>
    <row r="97" spans="1:9">
      <c r="A97" s="442" t="s">
        <v>633</v>
      </c>
      <c r="B97" s="443" t="s">
        <v>634</v>
      </c>
      <c r="C97" s="442"/>
      <c r="D97" s="472"/>
      <c r="E97" s="445"/>
      <c r="F97" s="445"/>
      <c r="G97" s="583"/>
      <c r="H97" s="583"/>
      <c r="I97" s="583"/>
    </row>
    <row r="98" spans="1:9">
      <c r="A98" s="442" t="s">
        <v>1106</v>
      </c>
      <c r="B98" s="443" t="s">
        <v>638</v>
      </c>
      <c r="C98" s="442"/>
      <c r="D98" s="472"/>
      <c r="E98" s="445"/>
      <c r="F98" s="445"/>
      <c r="G98" s="583"/>
      <c r="H98" s="583"/>
      <c r="I98" s="583"/>
    </row>
    <row r="99" spans="1:9" ht="27.6">
      <c r="A99" s="404" t="s">
        <v>654</v>
      </c>
      <c r="B99" s="401" t="s">
        <v>872</v>
      </c>
      <c r="C99" s="403" t="s">
        <v>873</v>
      </c>
      <c r="D99" s="473">
        <v>25.92</v>
      </c>
      <c r="E99" s="446"/>
      <c r="F99" s="446">
        <f>+E99*D99</f>
        <v>0</v>
      </c>
      <c r="G99" s="583"/>
      <c r="H99" s="583"/>
      <c r="I99" s="583"/>
    </row>
    <row r="100" spans="1:9">
      <c r="A100" s="442" t="s">
        <v>403</v>
      </c>
      <c r="B100" s="443" t="s">
        <v>404</v>
      </c>
      <c r="C100" s="442"/>
      <c r="D100" s="472"/>
      <c r="E100" s="445"/>
      <c r="F100" s="445"/>
      <c r="G100" s="583"/>
      <c r="H100" s="583"/>
      <c r="I100" s="583"/>
    </row>
    <row r="101" spans="1:9">
      <c r="A101" s="403" t="s">
        <v>908</v>
      </c>
      <c r="B101" s="401" t="s">
        <v>909</v>
      </c>
      <c r="C101" s="403" t="s">
        <v>873</v>
      </c>
      <c r="D101" s="476">
        <v>210.67</v>
      </c>
      <c r="E101" s="446"/>
      <c r="F101" s="446">
        <f>+E101*D101</f>
        <v>0</v>
      </c>
      <c r="G101" s="583"/>
      <c r="H101" s="583"/>
      <c r="I101" s="583"/>
    </row>
    <row r="102" spans="1:9" ht="15">
      <c r="A102" s="403" t="s">
        <v>912</v>
      </c>
      <c r="B102" s="401" t="s">
        <v>422</v>
      </c>
      <c r="C102" s="398" t="s">
        <v>852</v>
      </c>
      <c r="D102" s="473">
        <v>85.8</v>
      </c>
      <c r="E102" s="446"/>
      <c r="F102" s="446">
        <f t="shared" ref="F102:F103" si="4">+E102*D102</f>
        <v>0</v>
      </c>
      <c r="G102" s="583"/>
      <c r="H102" s="583"/>
      <c r="I102" s="583"/>
    </row>
    <row r="103" spans="1:9" ht="15">
      <c r="A103" s="398" t="s">
        <v>918</v>
      </c>
      <c r="B103" s="401" t="s">
        <v>429</v>
      </c>
      <c r="C103" s="398" t="s">
        <v>852</v>
      </c>
      <c r="D103" s="473">
        <v>451.43</v>
      </c>
      <c r="E103" s="446"/>
      <c r="F103" s="446">
        <f t="shared" si="4"/>
        <v>0</v>
      </c>
      <c r="G103" s="583"/>
      <c r="H103" s="583"/>
      <c r="I103" s="583"/>
    </row>
    <row r="104" spans="1:9">
      <c r="A104" s="442" t="s">
        <v>132</v>
      </c>
      <c r="B104" s="443" t="s">
        <v>130</v>
      </c>
      <c r="C104" s="442"/>
      <c r="D104" s="472"/>
      <c r="E104" s="445"/>
      <c r="F104" s="445"/>
      <c r="G104" s="583"/>
      <c r="H104" s="583"/>
      <c r="I104" s="583"/>
    </row>
    <row r="105" spans="1:9" ht="29.25" customHeight="1">
      <c r="A105" s="398" t="s">
        <v>137</v>
      </c>
      <c r="B105" s="401" t="s">
        <v>139</v>
      </c>
      <c r="C105" s="580" t="s">
        <v>142</v>
      </c>
      <c r="D105" s="580"/>
      <c r="E105" s="580"/>
      <c r="F105" s="580"/>
      <c r="G105" s="583"/>
      <c r="H105" s="583"/>
      <c r="I105" s="583"/>
    </row>
    <row r="106" spans="1:9">
      <c r="A106" s="442" t="s">
        <v>433</v>
      </c>
      <c r="B106" s="443" t="s">
        <v>435</v>
      </c>
      <c r="C106" s="442"/>
      <c r="D106" s="472"/>
      <c r="E106" s="445"/>
      <c r="F106" s="445"/>
      <c r="G106" s="583"/>
      <c r="H106" s="583"/>
      <c r="I106" s="583"/>
    </row>
    <row r="107" spans="1:9" ht="27.6">
      <c r="A107" s="398" t="s">
        <v>436</v>
      </c>
      <c r="B107" s="401" t="s">
        <v>440</v>
      </c>
      <c r="C107" s="398" t="s">
        <v>140</v>
      </c>
      <c r="D107" s="473">
        <v>1</v>
      </c>
      <c r="E107" s="446"/>
      <c r="F107" s="446">
        <f>+E107*D107</f>
        <v>0</v>
      </c>
      <c r="G107" s="583"/>
      <c r="H107" s="583"/>
      <c r="I107" s="583"/>
    </row>
    <row r="108" spans="1:9">
      <c r="A108" s="398" t="s">
        <v>441</v>
      </c>
      <c r="B108" s="401" t="s">
        <v>445</v>
      </c>
      <c r="C108" s="398" t="s">
        <v>140</v>
      </c>
      <c r="D108" s="473">
        <v>1</v>
      </c>
      <c r="E108" s="446"/>
      <c r="F108" s="446">
        <f>+E108*D108</f>
        <v>0</v>
      </c>
      <c r="G108" s="583"/>
      <c r="H108" s="583"/>
      <c r="I108" s="583"/>
    </row>
    <row r="109" spans="1:9">
      <c r="A109" s="442" t="s">
        <v>925</v>
      </c>
      <c r="B109" s="443" t="s">
        <v>624</v>
      </c>
      <c r="C109" s="442"/>
      <c r="D109" s="472"/>
      <c r="E109" s="445"/>
      <c r="F109" s="445"/>
      <c r="G109" s="583"/>
      <c r="H109" s="583"/>
      <c r="I109" s="583"/>
    </row>
    <row r="110" spans="1:9">
      <c r="A110" s="398" t="s">
        <v>927</v>
      </c>
      <c r="B110" s="408" t="s">
        <v>629</v>
      </c>
      <c r="C110" s="398" t="s">
        <v>67</v>
      </c>
      <c r="D110" s="473">
        <v>50.4</v>
      </c>
      <c r="E110" s="446"/>
      <c r="F110" s="446">
        <f>+E110*D110</f>
        <v>0</v>
      </c>
      <c r="G110" s="583"/>
      <c r="H110" s="583"/>
      <c r="I110" s="583"/>
    </row>
    <row r="111" spans="1:9" ht="15">
      <c r="A111" s="398" t="s">
        <v>1121</v>
      </c>
      <c r="B111" s="408" t="s">
        <v>632</v>
      </c>
      <c r="C111" s="398" t="s">
        <v>852</v>
      </c>
      <c r="D111" s="473">
        <v>52.86</v>
      </c>
      <c r="E111" s="446"/>
      <c r="F111" s="446">
        <f>+E111*D111</f>
        <v>0</v>
      </c>
      <c r="G111" s="583"/>
      <c r="H111" s="583"/>
      <c r="I111" s="583"/>
    </row>
    <row r="112" spans="1:9">
      <c r="A112" s="511"/>
      <c r="B112" s="512" t="s">
        <v>1122</v>
      </c>
      <c r="C112" s="513"/>
      <c r="D112" s="514"/>
      <c r="E112" s="515"/>
      <c r="F112" s="516">
        <f>+F111+F110+F108+F107+F103+F102+F101+F99+F96+F93+F92+F91</f>
        <v>0</v>
      </c>
      <c r="G112" s="583"/>
      <c r="H112" s="583"/>
      <c r="I112" s="583"/>
    </row>
    <row r="113" spans="1:9">
      <c r="A113" s="409"/>
      <c r="B113" s="409"/>
      <c r="C113" s="404"/>
      <c r="D113" s="478"/>
      <c r="E113" s="479"/>
      <c r="F113" s="479"/>
      <c r="G113" s="583"/>
      <c r="H113" s="583"/>
      <c r="I113" s="583"/>
    </row>
    <row r="114" spans="1:9">
      <c r="A114" s="495" t="s">
        <v>1123</v>
      </c>
      <c r="B114" s="495"/>
      <c r="C114" s="460"/>
      <c r="D114" s="496"/>
      <c r="E114" s="497"/>
      <c r="F114" s="497"/>
      <c r="G114" s="583"/>
      <c r="H114" s="583"/>
      <c r="I114" s="583"/>
    </row>
    <row r="115" spans="1:9">
      <c r="A115" s="409"/>
      <c r="B115" s="399"/>
      <c r="C115" s="404"/>
      <c r="D115" s="478"/>
      <c r="E115" s="479"/>
      <c r="F115" s="479"/>
      <c r="G115" s="583"/>
      <c r="H115" s="583"/>
      <c r="I115" s="583"/>
    </row>
    <row r="116" spans="1:9" ht="15.75" customHeight="1">
      <c r="A116" s="438" t="s">
        <v>0</v>
      </c>
      <c r="B116" s="439" t="s">
        <v>2</v>
      </c>
      <c r="C116" s="438" t="s">
        <v>3</v>
      </c>
      <c r="D116" s="441" t="s">
        <v>839</v>
      </c>
      <c r="E116" s="441" t="s">
        <v>9</v>
      </c>
      <c r="F116" s="441" t="s">
        <v>1098</v>
      </c>
      <c r="G116" s="583"/>
      <c r="H116" s="583"/>
      <c r="I116" s="583"/>
    </row>
    <row r="117" spans="1:9">
      <c r="A117" s="442" t="s">
        <v>715</v>
      </c>
      <c r="B117" s="443" t="s">
        <v>716</v>
      </c>
      <c r="C117" s="442"/>
      <c r="D117" s="472"/>
      <c r="E117" s="445"/>
      <c r="F117" s="445" t="s">
        <v>1099</v>
      </c>
      <c r="G117" s="583"/>
      <c r="H117" s="583"/>
      <c r="I117" s="583"/>
    </row>
    <row r="118" spans="1:9" ht="22.5" customHeight="1">
      <c r="A118" s="398" t="s">
        <v>717</v>
      </c>
      <c r="B118" s="399" t="s">
        <v>718</v>
      </c>
      <c r="C118" s="582" t="s">
        <v>719</v>
      </c>
      <c r="D118" s="582"/>
      <c r="E118" s="582"/>
      <c r="F118" s="582"/>
      <c r="G118" s="583"/>
      <c r="H118" s="583"/>
      <c r="I118" s="583"/>
    </row>
    <row r="119" spans="1:9">
      <c r="A119" s="398" t="s">
        <v>723</v>
      </c>
      <c r="B119" s="401" t="s">
        <v>736</v>
      </c>
      <c r="C119" s="398" t="s">
        <v>140</v>
      </c>
      <c r="D119" s="473">
        <v>1</v>
      </c>
      <c r="E119" s="446"/>
      <c r="F119" s="474">
        <f>+E119*D119</f>
        <v>0</v>
      </c>
      <c r="G119" s="583"/>
      <c r="H119" s="583"/>
      <c r="I119" s="583"/>
    </row>
    <row r="120" spans="1:9">
      <c r="A120" s="398" t="s">
        <v>747</v>
      </c>
      <c r="B120" s="401" t="s">
        <v>730</v>
      </c>
      <c r="C120" s="398" t="s">
        <v>140</v>
      </c>
      <c r="D120" s="473">
        <v>1</v>
      </c>
      <c r="E120" s="446"/>
      <c r="F120" s="474">
        <f t="shared" ref="F120:F121" si="5">+E120*D120</f>
        <v>0</v>
      </c>
      <c r="G120" s="583"/>
      <c r="H120" s="583"/>
      <c r="I120" s="583"/>
    </row>
    <row r="121" spans="1:9">
      <c r="A121" s="398" t="s">
        <v>743</v>
      </c>
      <c r="B121" s="401" t="s">
        <v>725</v>
      </c>
      <c r="C121" s="398" t="s">
        <v>140</v>
      </c>
      <c r="D121" s="473">
        <v>1</v>
      </c>
      <c r="E121" s="446"/>
      <c r="F121" s="474">
        <f t="shared" si="5"/>
        <v>0</v>
      </c>
      <c r="G121" s="583"/>
      <c r="H121" s="583"/>
      <c r="I121" s="583"/>
    </row>
    <row r="122" spans="1:9">
      <c r="A122" s="442" t="s">
        <v>329</v>
      </c>
      <c r="B122" s="443" t="s">
        <v>331</v>
      </c>
      <c r="C122" s="442"/>
      <c r="D122" s="472"/>
      <c r="E122" s="445"/>
      <c r="F122" s="445"/>
      <c r="G122" s="583"/>
      <c r="H122" s="583"/>
      <c r="I122" s="583"/>
    </row>
    <row r="123" spans="1:9">
      <c r="A123" s="442" t="s">
        <v>883</v>
      </c>
      <c r="B123" s="443" t="s">
        <v>1118</v>
      </c>
      <c r="C123" s="442"/>
      <c r="D123" s="472"/>
      <c r="E123" s="445"/>
      <c r="F123" s="445"/>
      <c r="G123" s="583"/>
      <c r="H123" s="583"/>
      <c r="I123" s="583"/>
    </row>
    <row r="124" spans="1:9" ht="27.6">
      <c r="A124" s="398" t="s">
        <v>1124</v>
      </c>
      <c r="B124" s="401" t="s">
        <v>1125</v>
      </c>
      <c r="C124" s="398" t="s">
        <v>887</v>
      </c>
      <c r="D124" s="473">
        <v>24</v>
      </c>
      <c r="E124" s="446"/>
      <c r="F124" s="446">
        <f>+E124*D124</f>
        <v>0</v>
      </c>
      <c r="G124" s="583"/>
      <c r="H124" s="583"/>
      <c r="I124" s="583"/>
    </row>
    <row r="125" spans="1:9">
      <c r="A125" s="442" t="s">
        <v>633</v>
      </c>
      <c r="B125" s="443" t="s">
        <v>634</v>
      </c>
      <c r="C125" s="442"/>
      <c r="D125" s="472"/>
      <c r="E125" s="445"/>
      <c r="F125" s="445"/>
      <c r="G125" s="583"/>
      <c r="H125" s="583"/>
      <c r="I125" s="583"/>
    </row>
    <row r="126" spans="1:9">
      <c r="A126" s="442" t="s">
        <v>1106</v>
      </c>
      <c r="B126" s="443" t="s">
        <v>638</v>
      </c>
      <c r="C126" s="442"/>
      <c r="D126" s="472"/>
      <c r="E126" s="445"/>
      <c r="F126" s="445"/>
      <c r="G126" s="583"/>
      <c r="H126" s="583"/>
      <c r="I126" s="583"/>
    </row>
    <row r="127" spans="1:9" ht="27.6">
      <c r="A127" s="404" t="s">
        <v>654</v>
      </c>
      <c r="B127" s="401" t="s">
        <v>655</v>
      </c>
      <c r="C127" s="403" t="s">
        <v>873</v>
      </c>
      <c r="D127" s="473">
        <v>11.32</v>
      </c>
      <c r="E127" s="446"/>
      <c r="F127" s="446">
        <f>+E127*D127</f>
        <v>0</v>
      </c>
      <c r="G127" s="583"/>
      <c r="H127" s="583"/>
      <c r="I127" s="583"/>
    </row>
    <row r="128" spans="1:9">
      <c r="A128" s="442" t="s">
        <v>403</v>
      </c>
      <c r="B128" s="443" t="s">
        <v>404</v>
      </c>
      <c r="C128" s="442"/>
      <c r="D128" s="472"/>
      <c r="E128" s="445"/>
      <c r="F128" s="445"/>
      <c r="G128" s="583"/>
      <c r="H128" s="583"/>
      <c r="I128" s="583"/>
    </row>
    <row r="129" spans="1:9">
      <c r="A129" s="403" t="s">
        <v>908</v>
      </c>
      <c r="B129" s="401" t="s">
        <v>410</v>
      </c>
      <c r="C129" s="403" t="s">
        <v>873</v>
      </c>
      <c r="D129" s="476">
        <v>24.48</v>
      </c>
      <c r="E129" s="446"/>
      <c r="F129" s="446">
        <f>+E129*D129</f>
        <v>0</v>
      </c>
      <c r="G129" s="583"/>
      <c r="H129" s="583"/>
      <c r="I129" s="583"/>
    </row>
    <row r="130" spans="1:9" ht="15">
      <c r="A130" s="403" t="s">
        <v>912</v>
      </c>
      <c r="B130" s="401" t="s">
        <v>422</v>
      </c>
      <c r="C130" s="398" t="s">
        <v>852</v>
      </c>
      <c r="D130" s="473">
        <v>57.6</v>
      </c>
      <c r="E130" s="446"/>
      <c r="F130" s="446">
        <f t="shared" ref="F130:F131" si="6">+E130*D130</f>
        <v>0</v>
      </c>
      <c r="G130" s="583"/>
      <c r="H130" s="583"/>
      <c r="I130" s="583"/>
    </row>
    <row r="131" spans="1:9" ht="15">
      <c r="A131" s="398" t="s">
        <v>918</v>
      </c>
      <c r="B131" s="401" t="s">
        <v>429</v>
      </c>
      <c r="C131" s="398" t="s">
        <v>852</v>
      </c>
      <c r="D131" s="473">
        <v>444.5</v>
      </c>
      <c r="E131" s="446"/>
      <c r="F131" s="446">
        <f t="shared" si="6"/>
        <v>0</v>
      </c>
      <c r="G131" s="583"/>
      <c r="H131" s="583"/>
      <c r="I131" s="583"/>
    </row>
    <row r="132" spans="1:9">
      <c r="A132" s="442" t="s">
        <v>132</v>
      </c>
      <c r="B132" s="443" t="s">
        <v>130</v>
      </c>
      <c r="C132" s="442"/>
      <c r="D132" s="472"/>
      <c r="E132" s="445"/>
      <c r="F132" s="445"/>
      <c r="G132" s="583"/>
      <c r="H132" s="583"/>
      <c r="I132" s="583"/>
    </row>
    <row r="133" spans="1:9" ht="29.25" customHeight="1">
      <c r="A133" s="398" t="s">
        <v>137</v>
      </c>
      <c r="B133" s="401" t="s">
        <v>139</v>
      </c>
      <c r="C133" s="398" t="s">
        <v>140</v>
      </c>
      <c r="D133" s="581" t="s">
        <v>1126</v>
      </c>
      <c r="E133" s="581"/>
      <c r="F133" s="581"/>
      <c r="G133" s="583"/>
      <c r="H133" s="583"/>
      <c r="I133" s="583"/>
    </row>
    <row r="134" spans="1:9">
      <c r="A134" s="442" t="s">
        <v>433</v>
      </c>
      <c r="B134" s="443" t="s">
        <v>435</v>
      </c>
      <c r="C134" s="442"/>
      <c r="D134" s="472"/>
      <c r="E134" s="445"/>
      <c r="F134" s="445"/>
      <c r="G134" s="583"/>
      <c r="H134" s="583"/>
      <c r="I134" s="583"/>
    </row>
    <row r="135" spans="1:9" ht="27.6">
      <c r="A135" s="398" t="s">
        <v>436</v>
      </c>
      <c r="B135" s="401" t="s">
        <v>440</v>
      </c>
      <c r="C135" s="398" t="s">
        <v>140</v>
      </c>
      <c r="D135" s="473">
        <v>1</v>
      </c>
      <c r="E135" s="446"/>
      <c r="F135" s="446">
        <f>+E135*D135</f>
        <v>0</v>
      </c>
      <c r="G135" s="583"/>
      <c r="H135" s="583"/>
      <c r="I135" s="583"/>
    </row>
    <row r="136" spans="1:9">
      <c r="A136" s="398" t="s">
        <v>441</v>
      </c>
      <c r="B136" s="401" t="s">
        <v>445</v>
      </c>
      <c r="C136" s="398" t="s">
        <v>140</v>
      </c>
      <c r="D136" s="473">
        <v>1</v>
      </c>
      <c r="E136" s="446"/>
      <c r="F136" s="446">
        <f>+E136*D136</f>
        <v>0</v>
      </c>
      <c r="G136" s="583"/>
      <c r="H136" s="583"/>
      <c r="I136" s="583"/>
    </row>
    <row r="137" spans="1:9">
      <c r="A137" s="442" t="s">
        <v>925</v>
      </c>
      <c r="B137" s="443" t="s">
        <v>624</v>
      </c>
      <c r="C137" s="442"/>
      <c r="D137" s="472"/>
      <c r="E137" s="445"/>
      <c r="F137" s="445"/>
      <c r="G137" s="583"/>
      <c r="H137" s="583"/>
      <c r="I137" s="583"/>
    </row>
    <row r="138" spans="1:9">
      <c r="A138" s="398" t="s">
        <v>927</v>
      </c>
      <c r="B138" s="408" t="s">
        <v>629</v>
      </c>
      <c r="C138" s="398" t="s">
        <v>67</v>
      </c>
      <c r="D138" s="473">
        <v>34.799999999999997</v>
      </c>
      <c r="E138" s="446"/>
      <c r="F138" s="446">
        <f>+E138*D138</f>
        <v>0</v>
      </c>
      <c r="G138" s="583"/>
      <c r="H138" s="583"/>
      <c r="I138" s="583"/>
    </row>
    <row r="139" spans="1:9" ht="15">
      <c r="A139" s="398" t="s">
        <v>1121</v>
      </c>
      <c r="B139" s="408" t="s">
        <v>632</v>
      </c>
      <c r="C139" s="398" t="s">
        <v>852</v>
      </c>
      <c r="D139" s="473">
        <v>45.62</v>
      </c>
      <c r="E139" s="446"/>
      <c r="F139" s="446">
        <f>+E139*D139</f>
        <v>0</v>
      </c>
      <c r="G139" s="583"/>
      <c r="H139" s="583"/>
      <c r="I139" s="583"/>
    </row>
    <row r="140" spans="1:9">
      <c r="A140" s="511"/>
      <c r="B140" s="512" t="s">
        <v>1127</v>
      </c>
      <c r="C140" s="513"/>
      <c r="D140" s="514"/>
      <c r="E140" s="515"/>
      <c r="F140" s="516">
        <f>+F139+F138+F136+F135+F131+F130+F129+F127+F124+F121+F120+F119</f>
        <v>0</v>
      </c>
      <c r="G140" s="583"/>
      <c r="H140" s="583"/>
      <c r="I140" s="583"/>
    </row>
    <row r="141" spans="1:9">
      <c r="A141" s="410"/>
      <c r="B141" s="412"/>
      <c r="C141" s="413"/>
      <c r="D141" s="478"/>
      <c r="E141" s="481"/>
      <c r="F141" s="481"/>
      <c r="G141" s="583"/>
      <c r="H141" s="583"/>
      <c r="I141" s="583"/>
    </row>
    <row r="142" spans="1:9">
      <c r="A142" s="495" t="s">
        <v>1128</v>
      </c>
      <c r="B142" s="495"/>
      <c r="C142" s="460"/>
      <c r="D142" s="496"/>
      <c r="E142" s="497"/>
      <c r="F142" s="497"/>
      <c r="G142" s="583"/>
      <c r="H142" s="583"/>
      <c r="I142" s="583"/>
    </row>
    <row r="143" spans="1:9">
      <c r="A143" s="410"/>
      <c r="B143" s="414"/>
      <c r="C143" s="411"/>
      <c r="D143" s="482"/>
      <c r="E143" s="479"/>
      <c r="F143" s="479"/>
      <c r="G143" s="583"/>
      <c r="H143" s="583"/>
      <c r="I143" s="583"/>
    </row>
    <row r="144" spans="1:9">
      <c r="A144" s="495" t="s">
        <v>1129</v>
      </c>
      <c r="B144" s="495"/>
      <c r="C144" s="460"/>
      <c r="D144" s="496"/>
      <c r="E144" s="497"/>
      <c r="F144" s="497"/>
      <c r="G144" s="583"/>
      <c r="H144" s="583"/>
      <c r="I144" s="583"/>
    </row>
    <row r="145" spans="1:9">
      <c r="A145" s="410"/>
      <c r="B145" s="412"/>
      <c r="C145" s="413"/>
      <c r="D145" s="478"/>
      <c r="E145" s="481"/>
      <c r="F145" s="481"/>
      <c r="G145" s="583"/>
      <c r="H145" s="583"/>
      <c r="I145" s="583"/>
    </row>
    <row r="146" spans="1:9" ht="15.75" customHeight="1">
      <c r="A146" s="438" t="s">
        <v>0</v>
      </c>
      <c r="B146" s="439" t="s">
        <v>967</v>
      </c>
      <c r="C146" s="438" t="s">
        <v>3</v>
      </c>
      <c r="D146" s="441" t="s">
        <v>4</v>
      </c>
      <c r="E146" s="441" t="s">
        <v>9</v>
      </c>
      <c r="F146" s="441" t="s">
        <v>1098</v>
      </c>
      <c r="G146" s="583"/>
      <c r="H146" s="583"/>
      <c r="I146" s="583"/>
    </row>
    <row r="147" spans="1:9">
      <c r="A147" s="442" t="s">
        <v>968</v>
      </c>
      <c r="B147" s="443" t="s">
        <v>969</v>
      </c>
      <c r="C147" s="442"/>
      <c r="D147" s="472"/>
      <c r="E147" s="445"/>
      <c r="F147" s="445" t="s">
        <v>1099</v>
      </c>
      <c r="G147" s="583"/>
      <c r="H147" s="583"/>
      <c r="I147" s="583"/>
    </row>
    <row r="148" spans="1:9">
      <c r="A148" s="415" t="s">
        <v>970</v>
      </c>
      <c r="B148" s="401" t="s">
        <v>821</v>
      </c>
      <c r="C148" s="398" t="s">
        <v>67</v>
      </c>
      <c r="D148" s="483">
        <v>42</v>
      </c>
      <c r="E148" s="446"/>
      <c r="F148" s="474">
        <f>+E148*D148</f>
        <v>0</v>
      </c>
      <c r="G148" s="583"/>
      <c r="H148" s="583"/>
      <c r="I148" s="583"/>
    </row>
    <row r="149" spans="1:9">
      <c r="A149" s="415" t="s">
        <v>971</v>
      </c>
      <c r="B149" s="401" t="s">
        <v>819</v>
      </c>
      <c r="C149" s="398" t="s">
        <v>67</v>
      </c>
      <c r="D149" s="483">
        <v>29</v>
      </c>
      <c r="E149" s="446"/>
      <c r="F149" s="474">
        <f t="shared" ref="F149:F182" si="7">+E149*D149</f>
        <v>0</v>
      </c>
      <c r="G149" s="583"/>
      <c r="H149" s="583"/>
      <c r="I149" s="583"/>
    </row>
    <row r="150" spans="1:9">
      <c r="A150" s="442" t="s">
        <v>974</v>
      </c>
      <c r="B150" s="443" t="s">
        <v>812</v>
      </c>
      <c r="C150" s="442"/>
      <c r="D150" s="472"/>
      <c r="E150" s="445"/>
      <c r="F150" s="445"/>
      <c r="G150" s="583"/>
      <c r="H150" s="583"/>
      <c r="I150" s="583"/>
    </row>
    <row r="151" spans="1:9">
      <c r="A151" s="403" t="s">
        <v>975</v>
      </c>
      <c r="B151" s="401" t="s">
        <v>458</v>
      </c>
      <c r="C151" s="398" t="s">
        <v>67</v>
      </c>
      <c r="D151" s="473">
        <v>30</v>
      </c>
      <c r="E151" s="446"/>
      <c r="F151" s="474">
        <f t="shared" si="7"/>
        <v>0</v>
      </c>
      <c r="G151" s="583"/>
      <c r="H151" s="583"/>
      <c r="I151" s="583"/>
    </row>
    <row r="152" spans="1:9">
      <c r="A152" s="403" t="s">
        <v>976</v>
      </c>
      <c r="B152" s="401" t="s">
        <v>460</v>
      </c>
      <c r="C152" s="398" t="s">
        <v>67</v>
      </c>
      <c r="D152" s="473">
        <v>24</v>
      </c>
      <c r="E152" s="446"/>
      <c r="F152" s="474">
        <f t="shared" si="7"/>
        <v>0</v>
      </c>
      <c r="G152" s="583"/>
      <c r="H152" s="583"/>
      <c r="I152" s="583"/>
    </row>
    <row r="153" spans="1:9">
      <c r="A153" s="442" t="s">
        <v>977</v>
      </c>
      <c r="B153" s="443" t="s">
        <v>16</v>
      </c>
      <c r="C153" s="442"/>
      <c r="D153" s="472"/>
      <c r="E153" s="445"/>
      <c r="F153" s="445"/>
      <c r="G153" s="583"/>
      <c r="H153" s="583"/>
      <c r="I153" s="583"/>
    </row>
    <row r="154" spans="1:9">
      <c r="A154" s="442" t="s">
        <v>574</v>
      </c>
      <c r="B154" s="443" t="s">
        <v>575</v>
      </c>
      <c r="C154" s="442"/>
      <c r="D154" s="472"/>
      <c r="E154" s="445"/>
      <c r="F154" s="445"/>
      <c r="G154" s="583"/>
      <c r="H154" s="583"/>
      <c r="I154" s="583"/>
    </row>
    <row r="155" spans="1:9">
      <c r="A155" s="415" t="s">
        <v>577</v>
      </c>
      <c r="B155" s="401" t="s">
        <v>580</v>
      </c>
      <c r="C155" s="398" t="s">
        <v>326</v>
      </c>
      <c r="D155" s="473">
        <v>1</v>
      </c>
      <c r="E155" s="446"/>
      <c r="F155" s="474">
        <f t="shared" si="7"/>
        <v>0</v>
      </c>
      <c r="G155" s="583"/>
      <c r="H155" s="583"/>
      <c r="I155" s="583"/>
    </row>
    <row r="156" spans="1:9">
      <c r="A156" s="415" t="s">
        <v>579</v>
      </c>
      <c r="B156" s="401" t="s">
        <v>578</v>
      </c>
      <c r="C156" s="398" t="s">
        <v>326</v>
      </c>
      <c r="D156" s="473">
        <v>4</v>
      </c>
      <c r="E156" s="446"/>
      <c r="F156" s="474">
        <f t="shared" si="7"/>
        <v>0</v>
      </c>
      <c r="G156" s="583"/>
      <c r="H156" s="583"/>
      <c r="I156" s="583"/>
    </row>
    <row r="157" spans="1:9">
      <c r="A157" s="442" t="s">
        <v>980</v>
      </c>
      <c r="B157" s="443" t="s">
        <v>599</v>
      </c>
      <c r="C157" s="442"/>
      <c r="D157" s="472"/>
      <c r="E157" s="445"/>
      <c r="F157" s="445"/>
      <c r="G157" s="583"/>
      <c r="H157" s="583"/>
      <c r="I157" s="583"/>
    </row>
    <row r="158" spans="1:9">
      <c r="A158" s="415" t="s">
        <v>981</v>
      </c>
      <c r="B158" s="401" t="s">
        <v>605</v>
      </c>
      <c r="C158" s="398" t="s">
        <v>326</v>
      </c>
      <c r="D158" s="473">
        <v>6</v>
      </c>
      <c r="E158" s="446"/>
      <c r="F158" s="474">
        <f t="shared" si="7"/>
        <v>0</v>
      </c>
      <c r="G158" s="583"/>
      <c r="H158" s="583"/>
      <c r="I158" s="583"/>
    </row>
    <row r="159" spans="1:9">
      <c r="A159" s="415" t="s">
        <v>982</v>
      </c>
      <c r="B159" s="401" t="s">
        <v>602</v>
      </c>
      <c r="C159" s="398" t="s">
        <v>326</v>
      </c>
      <c r="D159" s="473">
        <v>12</v>
      </c>
      <c r="E159" s="446"/>
      <c r="F159" s="474">
        <f t="shared" si="7"/>
        <v>0</v>
      </c>
      <c r="G159" s="583"/>
      <c r="H159" s="583"/>
      <c r="I159" s="583"/>
    </row>
    <row r="160" spans="1:9">
      <c r="A160" s="442" t="s">
        <v>591</v>
      </c>
      <c r="B160" s="443" t="s">
        <v>592</v>
      </c>
      <c r="C160" s="442"/>
      <c r="D160" s="472"/>
      <c r="E160" s="445"/>
      <c r="F160" s="445"/>
      <c r="G160" s="583"/>
      <c r="H160" s="583"/>
      <c r="I160" s="583"/>
    </row>
    <row r="161" spans="1:9">
      <c r="A161" s="403" t="s">
        <v>594</v>
      </c>
      <c r="B161" s="401" t="s">
        <v>595</v>
      </c>
      <c r="C161" s="398" t="s">
        <v>326</v>
      </c>
      <c r="D161" s="473">
        <v>2</v>
      </c>
      <c r="E161" s="446"/>
      <c r="F161" s="474">
        <f t="shared" si="7"/>
        <v>0</v>
      </c>
      <c r="G161" s="583"/>
      <c r="H161" s="583"/>
      <c r="I161" s="583"/>
    </row>
    <row r="162" spans="1:9">
      <c r="A162" s="442" t="s">
        <v>496</v>
      </c>
      <c r="B162" s="443" t="s">
        <v>497</v>
      </c>
      <c r="C162" s="442"/>
      <c r="D162" s="472"/>
      <c r="E162" s="445"/>
      <c r="F162" s="445"/>
      <c r="G162" s="583"/>
      <c r="H162" s="583"/>
      <c r="I162" s="583"/>
    </row>
    <row r="163" spans="1:9">
      <c r="A163" s="442" t="s">
        <v>507</v>
      </c>
      <c r="B163" s="443" t="s">
        <v>508</v>
      </c>
      <c r="C163" s="442"/>
      <c r="D163" s="472"/>
      <c r="E163" s="445"/>
      <c r="F163" s="445"/>
      <c r="G163" s="583"/>
      <c r="H163" s="583"/>
      <c r="I163" s="583"/>
    </row>
    <row r="164" spans="1:9">
      <c r="A164" s="415" t="s">
        <v>510</v>
      </c>
      <c r="B164" s="401" t="s">
        <v>511</v>
      </c>
      <c r="C164" s="398" t="s">
        <v>326</v>
      </c>
      <c r="D164" s="473">
        <v>16</v>
      </c>
      <c r="E164" s="446"/>
      <c r="F164" s="474">
        <f t="shared" si="7"/>
        <v>0</v>
      </c>
      <c r="G164" s="583"/>
      <c r="H164" s="583"/>
      <c r="I164" s="583"/>
    </row>
    <row r="165" spans="1:9">
      <c r="A165" s="442" t="s">
        <v>983</v>
      </c>
      <c r="B165" s="443" t="s">
        <v>536</v>
      </c>
      <c r="C165" s="442"/>
      <c r="D165" s="472"/>
      <c r="E165" s="445"/>
      <c r="F165" s="445"/>
      <c r="G165" s="583"/>
      <c r="H165" s="583"/>
      <c r="I165" s="583"/>
    </row>
    <row r="166" spans="1:9">
      <c r="A166" s="415" t="s">
        <v>537</v>
      </c>
      <c r="B166" s="401" t="s">
        <v>538</v>
      </c>
      <c r="C166" s="398" t="s">
        <v>326</v>
      </c>
      <c r="D166" s="473">
        <v>3</v>
      </c>
      <c r="E166" s="446"/>
      <c r="F166" s="474">
        <f t="shared" si="7"/>
        <v>0</v>
      </c>
      <c r="G166" s="583"/>
      <c r="H166" s="583"/>
      <c r="I166" s="583"/>
    </row>
    <row r="167" spans="1:9">
      <c r="A167" s="442" t="s">
        <v>1037</v>
      </c>
      <c r="B167" s="443" t="s">
        <v>1130</v>
      </c>
      <c r="C167" s="442"/>
      <c r="D167" s="472"/>
      <c r="E167" s="445"/>
      <c r="F167" s="445"/>
      <c r="G167" s="583"/>
      <c r="H167" s="583"/>
      <c r="I167" s="583"/>
    </row>
    <row r="168" spans="1:9">
      <c r="A168" s="415" t="s">
        <v>1048</v>
      </c>
      <c r="B168" s="401" t="s">
        <v>503</v>
      </c>
      <c r="C168" s="398" t="s">
        <v>326</v>
      </c>
      <c r="D168" s="473">
        <v>2</v>
      </c>
      <c r="E168" s="446"/>
      <c r="F168" s="474">
        <f t="shared" si="7"/>
        <v>0</v>
      </c>
      <c r="G168" s="583"/>
      <c r="H168" s="583"/>
      <c r="I168" s="583"/>
    </row>
    <row r="169" spans="1:9">
      <c r="A169" s="442" t="s">
        <v>496</v>
      </c>
      <c r="B169" s="443" t="s">
        <v>560</v>
      </c>
      <c r="C169" s="442"/>
      <c r="D169" s="472"/>
      <c r="E169" s="445"/>
      <c r="F169" s="445"/>
      <c r="G169" s="583"/>
      <c r="H169" s="583"/>
      <c r="I169" s="583"/>
    </row>
    <row r="170" spans="1:9">
      <c r="A170" s="415" t="s">
        <v>984</v>
      </c>
      <c r="B170" s="401" t="s">
        <v>563</v>
      </c>
      <c r="C170" s="398" t="s">
        <v>326</v>
      </c>
      <c r="D170" s="473">
        <v>4</v>
      </c>
      <c r="E170" s="446"/>
      <c r="F170" s="474">
        <f t="shared" si="7"/>
        <v>0</v>
      </c>
      <c r="G170" s="583"/>
      <c r="H170" s="583"/>
      <c r="I170" s="583"/>
    </row>
    <row r="171" spans="1:9">
      <c r="A171" s="442" t="s">
        <v>985</v>
      </c>
      <c r="B171" s="443" t="s">
        <v>521</v>
      </c>
      <c r="C171" s="442" t="s">
        <v>28</v>
      </c>
      <c r="D171" s="472"/>
      <c r="E171" s="445"/>
      <c r="F171" s="445"/>
      <c r="G171" s="583"/>
      <c r="H171" s="583"/>
      <c r="I171" s="583"/>
    </row>
    <row r="172" spans="1:9">
      <c r="A172" s="415" t="s">
        <v>986</v>
      </c>
      <c r="B172" s="401" t="s">
        <v>523</v>
      </c>
      <c r="C172" s="398" t="s">
        <v>326</v>
      </c>
      <c r="D172" s="473">
        <v>4</v>
      </c>
      <c r="E172" s="446"/>
      <c r="F172" s="474">
        <f t="shared" si="7"/>
        <v>0</v>
      </c>
      <c r="G172" s="583"/>
      <c r="H172" s="583"/>
      <c r="I172" s="583"/>
    </row>
    <row r="173" spans="1:9">
      <c r="A173" s="442" t="s">
        <v>987</v>
      </c>
      <c r="B173" s="443" t="s">
        <v>565</v>
      </c>
      <c r="C173" s="442"/>
      <c r="D173" s="472"/>
      <c r="E173" s="445"/>
      <c r="F173" s="445"/>
      <c r="G173" s="583"/>
      <c r="H173" s="583"/>
      <c r="I173" s="583"/>
    </row>
    <row r="174" spans="1:9">
      <c r="A174" s="415" t="s">
        <v>567</v>
      </c>
      <c r="B174" s="401" t="s">
        <v>568</v>
      </c>
      <c r="C174" s="398" t="s">
        <v>326</v>
      </c>
      <c r="D174" s="473">
        <v>2</v>
      </c>
      <c r="E174" s="446"/>
      <c r="F174" s="474">
        <f t="shared" si="7"/>
        <v>0</v>
      </c>
      <c r="G174" s="583"/>
      <c r="H174" s="583"/>
      <c r="I174" s="583"/>
    </row>
    <row r="175" spans="1:9">
      <c r="A175" s="442" t="s">
        <v>988</v>
      </c>
      <c r="B175" s="443" t="s">
        <v>549</v>
      </c>
      <c r="C175" s="442"/>
      <c r="D175" s="472"/>
      <c r="E175" s="445"/>
      <c r="F175" s="445"/>
      <c r="G175" s="583"/>
      <c r="H175" s="583"/>
      <c r="I175" s="583"/>
    </row>
    <row r="176" spans="1:9">
      <c r="A176" s="415" t="s">
        <v>989</v>
      </c>
      <c r="B176" s="401" t="s">
        <v>556</v>
      </c>
      <c r="C176" s="398" t="s">
        <v>326</v>
      </c>
      <c r="D176" s="473">
        <v>1</v>
      </c>
      <c r="E176" s="446"/>
      <c r="F176" s="474">
        <f t="shared" si="7"/>
        <v>0</v>
      </c>
      <c r="G176" s="583"/>
      <c r="H176" s="583"/>
      <c r="I176" s="583"/>
    </row>
    <row r="177" spans="1:9">
      <c r="A177" s="442" t="s">
        <v>992</v>
      </c>
      <c r="B177" s="443" t="s">
        <v>543</v>
      </c>
      <c r="C177" s="442"/>
      <c r="D177" s="472"/>
      <c r="E177" s="445"/>
      <c r="F177" s="445"/>
      <c r="G177" s="583"/>
      <c r="H177" s="583"/>
      <c r="I177" s="583"/>
    </row>
    <row r="178" spans="1:9">
      <c r="A178" s="415" t="s">
        <v>552</v>
      </c>
      <c r="B178" s="401" t="s">
        <v>546</v>
      </c>
      <c r="C178" s="398" t="s">
        <v>326</v>
      </c>
      <c r="D178" s="473">
        <v>1</v>
      </c>
      <c r="E178" s="446"/>
      <c r="F178" s="474">
        <f t="shared" si="7"/>
        <v>0</v>
      </c>
      <c r="G178" s="583"/>
      <c r="H178" s="583"/>
      <c r="I178" s="583"/>
    </row>
    <row r="179" spans="1:9">
      <c r="A179" s="442" t="s">
        <v>993</v>
      </c>
      <c r="B179" s="443" t="s">
        <v>513</v>
      </c>
      <c r="C179" s="442"/>
      <c r="D179" s="472"/>
      <c r="E179" s="445"/>
      <c r="F179" s="445"/>
      <c r="G179" s="583"/>
      <c r="H179" s="583"/>
      <c r="I179" s="583"/>
    </row>
    <row r="180" spans="1:9">
      <c r="A180" s="415" t="s">
        <v>994</v>
      </c>
      <c r="B180" s="401" t="s">
        <v>516</v>
      </c>
      <c r="C180" s="398" t="s">
        <v>326</v>
      </c>
      <c r="D180" s="473">
        <v>1</v>
      </c>
      <c r="E180" s="446"/>
      <c r="F180" s="474">
        <f t="shared" si="7"/>
        <v>0</v>
      </c>
      <c r="G180" s="583"/>
      <c r="H180" s="583"/>
      <c r="I180" s="583"/>
    </row>
    <row r="181" spans="1:9">
      <c r="A181" s="442" t="s">
        <v>995</v>
      </c>
      <c r="B181" s="443" t="s">
        <v>531</v>
      </c>
      <c r="C181" s="442"/>
      <c r="D181" s="472"/>
      <c r="E181" s="445"/>
      <c r="F181" s="445"/>
      <c r="G181" s="583"/>
      <c r="H181" s="583"/>
      <c r="I181" s="583"/>
    </row>
    <row r="182" spans="1:9">
      <c r="A182" s="415" t="s">
        <v>533</v>
      </c>
      <c r="B182" s="401" t="s">
        <v>534</v>
      </c>
      <c r="C182" s="398" t="s">
        <v>326</v>
      </c>
      <c r="D182" s="473">
        <v>5</v>
      </c>
      <c r="E182" s="446"/>
      <c r="F182" s="474">
        <f t="shared" si="7"/>
        <v>0</v>
      </c>
      <c r="G182" s="583"/>
      <c r="H182" s="583"/>
      <c r="I182" s="583"/>
    </row>
    <row r="183" spans="1:9">
      <c r="A183" s="511"/>
      <c r="B183" s="512" t="s">
        <v>1131</v>
      </c>
      <c r="C183" s="513"/>
      <c r="D183" s="514"/>
      <c r="E183" s="515"/>
      <c r="F183" s="516">
        <f>SUM(F148:F182)</f>
        <v>0</v>
      </c>
      <c r="G183" s="583"/>
      <c r="H183" s="583"/>
      <c r="I183" s="583"/>
    </row>
    <row r="184" spans="1:9">
      <c r="A184" s="410"/>
      <c r="B184" s="412"/>
      <c r="C184" s="413"/>
      <c r="D184" s="478"/>
      <c r="E184" s="481"/>
      <c r="F184" s="484"/>
      <c r="G184" s="583"/>
      <c r="H184" s="583"/>
      <c r="I184" s="583"/>
    </row>
    <row r="185" spans="1:9">
      <c r="A185" s="495" t="s">
        <v>1132</v>
      </c>
      <c r="B185" s="495"/>
      <c r="C185" s="460"/>
      <c r="D185" s="496"/>
      <c r="E185" s="497"/>
      <c r="F185" s="497"/>
      <c r="G185" s="583"/>
      <c r="H185" s="583"/>
      <c r="I185" s="583"/>
    </row>
    <row r="186" spans="1:9">
      <c r="A186" s="410"/>
      <c r="B186" s="412"/>
      <c r="C186" s="413"/>
      <c r="D186" s="478"/>
      <c r="E186" s="481"/>
      <c r="F186" s="481"/>
      <c r="G186" s="583"/>
      <c r="H186" s="583"/>
      <c r="I186" s="583"/>
    </row>
    <row r="187" spans="1:9" ht="15.75" customHeight="1">
      <c r="A187" s="438" t="s">
        <v>0</v>
      </c>
      <c r="B187" s="439" t="s">
        <v>967</v>
      </c>
      <c r="C187" s="438" t="s">
        <v>3</v>
      </c>
      <c r="D187" s="441" t="s">
        <v>4</v>
      </c>
      <c r="E187" s="441" t="s">
        <v>9</v>
      </c>
      <c r="F187" s="441" t="s">
        <v>1098</v>
      </c>
      <c r="G187" s="583"/>
      <c r="H187" s="583"/>
      <c r="I187" s="583"/>
    </row>
    <row r="188" spans="1:9">
      <c r="A188" s="442" t="s">
        <v>692</v>
      </c>
      <c r="B188" s="443" t="s">
        <v>697</v>
      </c>
      <c r="C188" s="442"/>
      <c r="D188" s="472"/>
      <c r="E188" s="445"/>
      <c r="F188" s="445"/>
      <c r="G188" s="583"/>
      <c r="H188" s="583"/>
      <c r="I188" s="583"/>
    </row>
    <row r="189" spans="1:9" ht="18" customHeight="1">
      <c r="A189" s="415" t="s">
        <v>998</v>
      </c>
      <c r="B189" s="401" t="s">
        <v>999</v>
      </c>
      <c r="C189" s="398" t="s">
        <v>67</v>
      </c>
      <c r="D189" s="473">
        <v>24</v>
      </c>
      <c r="E189" s="446"/>
      <c r="F189" s="446">
        <f>+E189*D189</f>
        <v>0</v>
      </c>
      <c r="G189" s="583"/>
      <c r="H189" s="583"/>
      <c r="I189" s="583"/>
    </row>
    <row r="190" spans="1:9">
      <c r="A190" s="442" t="s">
        <v>1000</v>
      </c>
      <c r="B190" s="443" t="s">
        <v>463</v>
      </c>
      <c r="C190" s="442"/>
      <c r="D190" s="472"/>
      <c r="E190" s="445"/>
      <c r="F190" s="445"/>
      <c r="G190" s="583"/>
      <c r="H190" s="583"/>
      <c r="I190" s="583"/>
    </row>
    <row r="191" spans="1:9">
      <c r="A191" s="442" t="s">
        <v>1001</v>
      </c>
      <c r="B191" s="443" t="s">
        <v>1002</v>
      </c>
      <c r="C191" s="442"/>
      <c r="D191" s="472"/>
      <c r="E191" s="445"/>
      <c r="F191" s="445"/>
      <c r="G191" s="583"/>
      <c r="H191" s="583"/>
      <c r="I191" s="583"/>
    </row>
    <row r="192" spans="1:9">
      <c r="A192" s="403" t="s">
        <v>1003</v>
      </c>
      <c r="B192" s="401" t="s">
        <v>1004</v>
      </c>
      <c r="C192" s="398" t="s">
        <v>67</v>
      </c>
      <c r="D192" s="473">
        <v>24</v>
      </c>
      <c r="E192" s="446"/>
      <c r="F192" s="446">
        <f>+E192*D192</f>
        <v>0</v>
      </c>
      <c r="G192" s="583"/>
      <c r="H192" s="583"/>
      <c r="I192" s="583"/>
    </row>
    <row r="193" spans="1:9">
      <c r="A193" s="442" t="s">
        <v>1007</v>
      </c>
      <c r="B193" s="443" t="s">
        <v>456</v>
      </c>
      <c r="C193" s="442"/>
      <c r="D193" s="472"/>
      <c r="E193" s="445"/>
      <c r="F193" s="445"/>
      <c r="G193" s="583"/>
      <c r="H193" s="583"/>
      <c r="I193" s="583"/>
    </row>
    <row r="194" spans="1:9">
      <c r="A194" s="403" t="s">
        <v>1008</v>
      </c>
      <c r="B194" s="401" t="s">
        <v>458</v>
      </c>
      <c r="C194" s="398" t="s">
        <v>67</v>
      </c>
      <c r="D194" s="473">
        <v>30</v>
      </c>
      <c r="E194" s="446"/>
      <c r="F194" s="446">
        <f>+E194*D194</f>
        <v>0</v>
      </c>
      <c r="G194" s="583"/>
      <c r="H194" s="583"/>
      <c r="I194" s="583"/>
    </row>
    <row r="195" spans="1:9">
      <c r="A195" s="403" t="s">
        <v>1009</v>
      </c>
      <c r="B195" s="401" t="s">
        <v>460</v>
      </c>
      <c r="C195" s="398" t="s">
        <v>67</v>
      </c>
      <c r="D195" s="473">
        <v>24</v>
      </c>
      <c r="E195" s="446"/>
      <c r="F195" s="446">
        <f>+E195*D195</f>
        <v>0</v>
      </c>
      <c r="G195" s="583"/>
      <c r="H195" s="583"/>
      <c r="I195" s="583"/>
    </row>
    <row r="196" spans="1:9">
      <c r="A196" s="442" t="s">
        <v>482</v>
      </c>
      <c r="B196" s="443" t="s">
        <v>483</v>
      </c>
      <c r="C196" s="442"/>
      <c r="D196" s="472"/>
      <c r="E196" s="445"/>
      <c r="F196" s="445"/>
      <c r="G196" s="583"/>
      <c r="H196" s="583"/>
      <c r="I196" s="583"/>
    </row>
    <row r="197" spans="1:9">
      <c r="A197" s="403" t="s">
        <v>484</v>
      </c>
      <c r="B197" s="401" t="s">
        <v>488</v>
      </c>
      <c r="C197" s="398" t="s">
        <v>3</v>
      </c>
      <c r="D197" s="473">
        <v>1</v>
      </c>
      <c r="E197" s="446"/>
      <c r="F197" s="446">
        <f>+E197*D197</f>
        <v>0</v>
      </c>
      <c r="G197" s="583"/>
      <c r="H197" s="583"/>
      <c r="I197" s="583"/>
    </row>
    <row r="198" spans="1:9">
      <c r="A198" s="403" t="s">
        <v>487</v>
      </c>
      <c r="B198" s="401" t="s">
        <v>485</v>
      </c>
      <c r="C198" s="398" t="s">
        <v>3</v>
      </c>
      <c r="D198" s="473">
        <v>1</v>
      </c>
      <c r="E198" s="446"/>
      <c r="F198" s="446">
        <f t="shared" ref="F198:F200" si="8">+E198*D198</f>
        <v>0</v>
      </c>
      <c r="G198" s="583"/>
      <c r="H198" s="583"/>
      <c r="I198" s="583"/>
    </row>
    <row r="199" spans="1:9">
      <c r="A199" s="403" t="s">
        <v>490</v>
      </c>
      <c r="B199" s="401" t="s">
        <v>491</v>
      </c>
      <c r="C199" s="398" t="s">
        <v>3</v>
      </c>
      <c r="D199" s="473">
        <v>2</v>
      </c>
      <c r="E199" s="446"/>
      <c r="F199" s="446">
        <f t="shared" si="8"/>
        <v>0</v>
      </c>
      <c r="G199" s="583"/>
      <c r="H199" s="583"/>
      <c r="I199" s="583"/>
    </row>
    <row r="200" spans="1:9">
      <c r="A200" s="403" t="s">
        <v>493</v>
      </c>
      <c r="B200" s="401" t="s">
        <v>494</v>
      </c>
      <c r="C200" s="398" t="s">
        <v>3</v>
      </c>
      <c r="D200" s="473">
        <v>1</v>
      </c>
      <c r="E200" s="446"/>
      <c r="F200" s="446">
        <f t="shared" si="8"/>
        <v>0</v>
      </c>
      <c r="G200" s="583"/>
      <c r="H200" s="583"/>
      <c r="I200" s="583"/>
    </row>
    <row r="201" spans="1:9">
      <c r="A201" s="442" t="s">
        <v>1010</v>
      </c>
      <c r="B201" s="443" t="s">
        <v>72</v>
      </c>
      <c r="C201" s="442"/>
      <c r="D201" s="472"/>
      <c r="E201" s="445"/>
      <c r="F201" s="445"/>
      <c r="G201" s="583"/>
      <c r="H201" s="583"/>
      <c r="I201" s="583"/>
    </row>
    <row r="202" spans="1:9">
      <c r="A202" s="442" t="s">
        <v>1011</v>
      </c>
      <c r="B202" s="443" t="s">
        <v>101</v>
      </c>
      <c r="C202" s="442"/>
      <c r="D202" s="472"/>
      <c r="E202" s="445"/>
      <c r="F202" s="445"/>
      <c r="G202" s="583"/>
      <c r="H202" s="583"/>
      <c r="I202" s="583"/>
    </row>
    <row r="203" spans="1:9">
      <c r="A203" s="415" t="s">
        <v>1012</v>
      </c>
      <c r="B203" s="401" t="s">
        <v>103</v>
      </c>
      <c r="C203" s="398" t="s">
        <v>3</v>
      </c>
      <c r="D203" s="473">
        <v>1</v>
      </c>
      <c r="E203" s="446"/>
      <c r="F203" s="446">
        <f>+E203*D203</f>
        <v>0</v>
      </c>
      <c r="G203" s="583"/>
      <c r="H203" s="583"/>
      <c r="I203" s="583"/>
    </row>
    <row r="204" spans="1:9">
      <c r="A204" s="442" t="s">
        <v>1016</v>
      </c>
      <c r="B204" s="443" t="s">
        <v>75</v>
      </c>
      <c r="C204" s="442"/>
      <c r="D204" s="472"/>
      <c r="E204" s="445"/>
      <c r="F204" s="445"/>
      <c r="G204" s="583"/>
      <c r="H204" s="583"/>
      <c r="I204" s="583"/>
    </row>
    <row r="205" spans="1:9" ht="27.6">
      <c r="A205" s="398" t="s">
        <v>1017</v>
      </c>
      <c r="B205" s="401" t="s">
        <v>80</v>
      </c>
      <c r="C205" s="398" t="s">
        <v>3</v>
      </c>
      <c r="D205" s="473">
        <v>1</v>
      </c>
      <c r="E205" s="446"/>
      <c r="F205" s="446">
        <f>+E205*D205</f>
        <v>0</v>
      </c>
      <c r="G205" s="583"/>
      <c r="H205" s="583"/>
      <c r="I205" s="583"/>
    </row>
    <row r="206" spans="1:9">
      <c r="A206" s="511"/>
      <c r="B206" s="512" t="s">
        <v>1133</v>
      </c>
      <c r="C206" s="513"/>
      <c r="D206" s="514"/>
      <c r="E206" s="515"/>
      <c r="F206" s="516">
        <f>SUM(F189:F205)</f>
        <v>0</v>
      </c>
      <c r="G206" s="583"/>
      <c r="H206" s="583"/>
      <c r="I206" s="583"/>
    </row>
    <row r="207" spans="1:9">
      <c r="A207" s="511"/>
      <c r="B207" s="512" t="s">
        <v>1134</v>
      </c>
      <c r="C207" s="513"/>
      <c r="D207" s="514"/>
      <c r="E207" s="515"/>
      <c r="F207" s="516">
        <f>+F206+F183</f>
        <v>0</v>
      </c>
      <c r="G207" s="583"/>
      <c r="H207" s="583"/>
      <c r="I207" s="583"/>
    </row>
    <row r="208" spans="1:9">
      <c r="A208" s="511"/>
      <c r="B208" s="512" t="s">
        <v>1135</v>
      </c>
      <c r="C208" s="513"/>
      <c r="D208" s="514"/>
      <c r="E208" s="515"/>
      <c r="F208" s="516">
        <f>+F207*2</f>
        <v>0</v>
      </c>
      <c r="G208" s="583"/>
      <c r="H208" s="583"/>
      <c r="I208" s="583"/>
    </row>
    <row r="209" spans="1:9">
      <c r="A209" s="410"/>
      <c r="B209" s="412"/>
      <c r="C209" s="413"/>
      <c r="D209" s="478"/>
      <c r="E209" s="481"/>
      <c r="F209" s="481"/>
      <c r="G209" s="583"/>
      <c r="H209" s="583"/>
      <c r="I209" s="583"/>
    </row>
    <row r="210" spans="1:9">
      <c r="A210" s="495" t="s">
        <v>1136</v>
      </c>
      <c r="B210" s="495"/>
      <c r="C210" s="460"/>
      <c r="D210" s="496"/>
      <c r="E210" s="497"/>
      <c r="F210" s="497"/>
      <c r="G210" s="583"/>
      <c r="H210" s="583"/>
      <c r="I210" s="583"/>
    </row>
    <row r="211" spans="1:9">
      <c r="A211" s="410"/>
      <c r="B211" s="412"/>
      <c r="C211" s="413"/>
      <c r="D211" s="478"/>
      <c r="E211" s="481"/>
      <c r="F211" s="481"/>
      <c r="G211" s="375"/>
      <c r="H211" s="375"/>
      <c r="I211" s="375"/>
    </row>
    <row r="212" spans="1:9" ht="15.75" customHeight="1">
      <c r="A212" s="438" t="s">
        <v>0</v>
      </c>
      <c r="B212" s="439" t="s">
        <v>967</v>
      </c>
      <c r="C212" s="438" t="s">
        <v>3</v>
      </c>
      <c r="D212" s="441" t="s">
        <v>4</v>
      </c>
      <c r="E212" s="441" t="s">
        <v>9</v>
      </c>
      <c r="F212" s="441" t="s">
        <v>1098</v>
      </c>
      <c r="G212" s="375"/>
      <c r="H212" s="375"/>
      <c r="I212" s="375"/>
    </row>
    <row r="213" spans="1:9">
      <c r="A213" s="442" t="s">
        <v>968</v>
      </c>
      <c r="B213" s="443" t="s">
        <v>969</v>
      </c>
      <c r="C213" s="442"/>
      <c r="D213" s="472"/>
      <c r="E213" s="445"/>
      <c r="F213" s="445"/>
      <c r="G213" s="375"/>
      <c r="H213" s="375"/>
      <c r="I213" s="375"/>
    </row>
    <row r="214" spans="1:9">
      <c r="A214" s="415" t="s">
        <v>970</v>
      </c>
      <c r="B214" s="401" t="s">
        <v>1004</v>
      </c>
      <c r="C214" s="398" t="s">
        <v>67</v>
      </c>
      <c r="D214" s="483">
        <v>48</v>
      </c>
      <c r="E214" s="446"/>
      <c r="F214" s="446">
        <f>+E214*D214</f>
        <v>0</v>
      </c>
      <c r="G214" s="375"/>
      <c r="H214" s="375"/>
      <c r="I214" s="375"/>
    </row>
    <row r="215" spans="1:9">
      <c r="A215" s="442" t="s">
        <v>974</v>
      </c>
      <c r="B215" s="443" t="s">
        <v>812</v>
      </c>
      <c r="C215" s="442"/>
      <c r="D215" s="472"/>
      <c r="E215" s="445"/>
      <c r="F215" s="445"/>
      <c r="G215" s="375"/>
      <c r="H215" s="375"/>
      <c r="I215" s="375"/>
    </row>
    <row r="216" spans="1:9">
      <c r="A216" s="403" t="s">
        <v>975</v>
      </c>
      <c r="B216" s="401" t="s">
        <v>458</v>
      </c>
      <c r="C216" s="398" t="s">
        <v>67</v>
      </c>
      <c r="D216" s="473">
        <v>60</v>
      </c>
      <c r="E216" s="446"/>
      <c r="F216" s="446">
        <f t="shared" ref="F216:F247" si="9">+E216*D216</f>
        <v>0</v>
      </c>
      <c r="G216" s="375"/>
      <c r="H216" s="375"/>
      <c r="I216" s="375"/>
    </row>
    <row r="217" spans="1:9">
      <c r="A217" s="403" t="s">
        <v>976</v>
      </c>
      <c r="B217" s="401" t="s">
        <v>460</v>
      </c>
      <c r="C217" s="398" t="s">
        <v>67</v>
      </c>
      <c r="D217" s="473">
        <v>48</v>
      </c>
      <c r="E217" s="446"/>
      <c r="F217" s="446">
        <f t="shared" si="9"/>
        <v>0</v>
      </c>
      <c r="G217" s="375"/>
      <c r="H217" s="375"/>
      <c r="I217" s="375"/>
    </row>
    <row r="218" spans="1:9">
      <c r="A218" s="442" t="s">
        <v>977</v>
      </c>
      <c r="B218" s="443" t="s">
        <v>16</v>
      </c>
      <c r="C218" s="442"/>
      <c r="D218" s="472"/>
      <c r="E218" s="445"/>
      <c r="F218" s="445"/>
      <c r="G218" s="375"/>
      <c r="H218" s="375"/>
      <c r="I218" s="375"/>
    </row>
    <row r="219" spans="1:9">
      <c r="A219" s="442" t="s">
        <v>574</v>
      </c>
      <c r="B219" s="443" t="s">
        <v>575</v>
      </c>
      <c r="C219" s="442"/>
      <c r="D219" s="472"/>
      <c r="E219" s="445"/>
      <c r="F219" s="445"/>
      <c r="G219" s="375"/>
      <c r="H219" s="375"/>
      <c r="I219" s="375"/>
    </row>
    <row r="220" spans="1:9">
      <c r="A220" s="415" t="s">
        <v>586</v>
      </c>
      <c r="B220" s="401" t="s">
        <v>584</v>
      </c>
      <c r="C220" s="398" t="s">
        <v>326</v>
      </c>
      <c r="D220" s="473">
        <v>2</v>
      </c>
      <c r="E220" s="446"/>
      <c r="F220" s="446">
        <f t="shared" si="9"/>
        <v>0</v>
      </c>
      <c r="G220" s="375"/>
      <c r="H220" s="375"/>
      <c r="I220" s="375"/>
    </row>
    <row r="221" spans="1:9">
      <c r="A221" s="415" t="s">
        <v>579</v>
      </c>
      <c r="B221" s="401" t="s">
        <v>578</v>
      </c>
      <c r="C221" s="398" t="s">
        <v>326</v>
      </c>
      <c r="D221" s="473">
        <v>8</v>
      </c>
      <c r="E221" s="446"/>
      <c r="F221" s="446">
        <f t="shared" si="9"/>
        <v>0</v>
      </c>
      <c r="G221" s="375"/>
      <c r="H221" s="375"/>
      <c r="I221" s="375"/>
    </row>
    <row r="222" spans="1:9">
      <c r="A222" s="442" t="s">
        <v>1137</v>
      </c>
      <c r="B222" s="443" t="s">
        <v>599</v>
      </c>
      <c r="C222" s="442"/>
      <c r="D222" s="472"/>
      <c r="E222" s="445"/>
      <c r="F222" s="445"/>
      <c r="G222" s="375"/>
      <c r="H222" s="375"/>
      <c r="I222" s="375"/>
    </row>
    <row r="223" spans="1:9">
      <c r="A223" s="415" t="s">
        <v>981</v>
      </c>
      <c r="B223" s="401" t="s">
        <v>605</v>
      </c>
      <c r="C223" s="398" t="s">
        <v>326</v>
      </c>
      <c r="D223" s="473">
        <v>12</v>
      </c>
      <c r="E223" s="446"/>
      <c r="F223" s="446">
        <f t="shared" si="9"/>
        <v>0</v>
      </c>
      <c r="G223" s="375"/>
      <c r="H223" s="375"/>
      <c r="I223" s="375"/>
    </row>
    <row r="224" spans="1:9">
      <c r="A224" s="415" t="s">
        <v>982</v>
      </c>
      <c r="B224" s="401" t="s">
        <v>602</v>
      </c>
      <c r="C224" s="398" t="s">
        <v>326</v>
      </c>
      <c r="D224" s="473">
        <v>24</v>
      </c>
      <c r="E224" s="446"/>
      <c r="F224" s="446">
        <f t="shared" si="9"/>
        <v>0</v>
      </c>
      <c r="G224" s="375"/>
      <c r="H224" s="375"/>
      <c r="I224" s="375"/>
    </row>
    <row r="225" spans="1:9">
      <c r="A225" s="442" t="s">
        <v>1138</v>
      </c>
      <c r="B225" s="443" t="s">
        <v>592</v>
      </c>
      <c r="C225" s="442"/>
      <c r="D225" s="472"/>
      <c r="E225" s="445"/>
      <c r="F225" s="445"/>
      <c r="G225" s="375"/>
      <c r="H225" s="375"/>
      <c r="I225" s="375"/>
    </row>
    <row r="226" spans="1:9">
      <c r="A226" s="415" t="s">
        <v>1139</v>
      </c>
      <c r="B226" s="401" t="s">
        <v>595</v>
      </c>
      <c r="C226" s="398" t="s">
        <v>326</v>
      </c>
      <c r="D226" s="473">
        <v>4</v>
      </c>
      <c r="E226" s="446"/>
      <c r="F226" s="446">
        <f t="shared" si="9"/>
        <v>0</v>
      </c>
      <c r="G226" s="375"/>
      <c r="H226" s="375"/>
      <c r="I226" s="375"/>
    </row>
    <row r="227" spans="1:9">
      <c r="A227" s="442" t="s">
        <v>1140</v>
      </c>
      <c r="B227" s="443" t="s">
        <v>497</v>
      </c>
      <c r="C227" s="442"/>
      <c r="D227" s="472"/>
      <c r="E227" s="445"/>
      <c r="F227" s="445"/>
      <c r="G227" s="375"/>
      <c r="H227" s="375"/>
      <c r="I227" s="375"/>
    </row>
    <row r="228" spans="1:9">
      <c r="A228" s="442" t="s">
        <v>507</v>
      </c>
      <c r="B228" s="443" t="s">
        <v>508</v>
      </c>
      <c r="C228" s="442"/>
      <c r="D228" s="472"/>
      <c r="E228" s="445"/>
      <c r="F228" s="445"/>
      <c r="G228" s="375"/>
      <c r="H228" s="375"/>
      <c r="I228" s="375"/>
    </row>
    <row r="229" spans="1:9">
      <c r="A229" s="415" t="s">
        <v>510</v>
      </c>
      <c r="B229" s="401" t="s">
        <v>511</v>
      </c>
      <c r="C229" s="398" t="s">
        <v>326</v>
      </c>
      <c r="D229" s="473">
        <v>24</v>
      </c>
      <c r="E229" s="446"/>
      <c r="F229" s="446">
        <f t="shared" si="9"/>
        <v>0</v>
      </c>
      <c r="G229" s="375"/>
      <c r="H229" s="375"/>
      <c r="I229" s="375"/>
    </row>
    <row r="230" spans="1:9" ht="15">
      <c r="A230" s="442" t="s">
        <v>983</v>
      </c>
      <c r="B230" s="443" t="s">
        <v>536</v>
      </c>
      <c r="C230" s="442"/>
      <c r="D230" s="472"/>
      <c r="E230" s="445"/>
      <c r="F230" s="445"/>
      <c r="G230" s="375"/>
      <c r="H230" s="375"/>
      <c r="I230" s="375"/>
    </row>
    <row r="231" spans="1:9">
      <c r="A231" s="415" t="s">
        <v>537</v>
      </c>
      <c r="B231" s="401" t="s">
        <v>538</v>
      </c>
      <c r="C231" s="398" t="s">
        <v>326</v>
      </c>
      <c r="D231" s="473">
        <v>4</v>
      </c>
      <c r="E231" s="446"/>
      <c r="F231" s="446">
        <f t="shared" si="9"/>
        <v>0</v>
      </c>
      <c r="G231" s="375"/>
      <c r="H231" s="375"/>
      <c r="I231" s="375"/>
    </row>
    <row r="232" spans="1:9">
      <c r="A232" s="442" t="s">
        <v>1037</v>
      </c>
      <c r="B232" s="443" t="s">
        <v>1130</v>
      </c>
      <c r="C232" s="442"/>
      <c r="D232" s="472"/>
      <c r="E232" s="445"/>
      <c r="F232" s="445"/>
      <c r="G232" s="375"/>
      <c r="H232" s="375"/>
      <c r="I232" s="375"/>
    </row>
    <row r="233" spans="1:9">
      <c r="A233" s="415" t="s">
        <v>1048</v>
      </c>
      <c r="B233" s="401" t="s">
        <v>503</v>
      </c>
      <c r="C233" s="398" t="s">
        <v>326</v>
      </c>
      <c r="D233" s="473">
        <v>4</v>
      </c>
      <c r="E233" s="446"/>
      <c r="F233" s="446">
        <f t="shared" si="9"/>
        <v>0</v>
      </c>
      <c r="G233" s="375"/>
      <c r="H233" s="375"/>
      <c r="I233" s="375"/>
    </row>
    <row r="234" spans="1:9">
      <c r="A234" s="442" t="s">
        <v>1140</v>
      </c>
      <c r="B234" s="443" t="s">
        <v>560</v>
      </c>
      <c r="C234" s="442"/>
      <c r="D234" s="472"/>
      <c r="E234" s="445"/>
      <c r="F234" s="445"/>
      <c r="G234" s="375"/>
      <c r="H234" s="375"/>
      <c r="I234" s="375"/>
    </row>
    <row r="235" spans="1:9">
      <c r="A235" s="415" t="s">
        <v>984</v>
      </c>
      <c r="B235" s="401" t="s">
        <v>563</v>
      </c>
      <c r="C235" s="398" t="s">
        <v>326</v>
      </c>
      <c r="D235" s="473">
        <v>8</v>
      </c>
      <c r="E235" s="446"/>
      <c r="F235" s="446">
        <f t="shared" si="9"/>
        <v>0</v>
      </c>
      <c r="G235" s="375"/>
      <c r="H235" s="375"/>
      <c r="I235" s="375"/>
    </row>
    <row r="236" spans="1:9">
      <c r="A236" s="442" t="s">
        <v>985</v>
      </c>
      <c r="B236" s="443" t="s">
        <v>521</v>
      </c>
      <c r="C236" s="442" t="s">
        <v>28</v>
      </c>
      <c r="D236" s="472"/>
      <c r="E236" s="445"/>
      <c r="F236" s="445"/>
      <c r="G236" s="375"/>
      <c r="H236" s="375"/>
      <c r="I236" s="375"/>
    </row>
    <row r="237" spans="1:9">
      <c r="A237" s="415" t="s">
        <v>986</v>
      </c>
      <c r="B237" s="401" t="s">
        <v>523</v>
      </c>
      <c r="C237" s="398" t="s">
        <v>326</v>
      </c>
      <c r="D237" s="473">
        <v>4</v>
      </c>
      <c r="E237" s="446"/>
      <c r="F237" s="446">
        <f t="shared" si="9"/>
        <v>0</v>
      </c>
      <c r="G237" s="375"/>
      <c r="H237" s="375"/>
      <c r="I237" s="375"/>
    </row>
    <row r="238" spans="1:9">
      <c r="A238" s="442" t="s">
        <v>987</v>
      </c>
      <c r="B238" s="443" t="s">
        <v>565</v>
      </c>
      <c r="C238" s="442"/>
      <c r="D238" s="472"/>
      <c r="E238" s="445"/>
      <c r="F238" s="445"/>
      <c r="G238" s="375"/>
      <c r="H238" s="375"/>
      <c r="I238" s="375"/>
    </row>
    <row r="239" spans="1:9">
      <c r="A239" s="415" t="s">
        <v>567</v>
      </c>
      <c r="B239" s="401" t="s">
        <v>568</v>
      </c>
      <c r="C239" s="398" t="s">
        <v>326</v>
      </c>
      <c r="D239" s="473">
        <v>4</v>
      </c>
      <c r="E239" s="446"/>
      <c r="F239" s="446">
        <f t="shared" si="9"/>
        <v>0</v>
      </c>
      <c r="G239" s="375"/>
      <c r="H239" s="375"/>
      <c r="I239" s="375"/>
    </row>
    <row r="240" spans="1:9">
      <c r="A240" s="442" t="s">
        <v>988</v>
      </c>
      <c r="B240" s="443" t="s">
        <v>549</v>
      </c>
      <c r="C240" s="442"/>
      <c r="D240" s="472"/>
      <c r="E240" s="445"/>
      <c r="F240" s="445"/>
      <c r="G240" s="375"/>
      <c r="H240" s="375"/>
      <c r="I240" s="375"/>
    </row>
    <row r="241" spans="1:9">
      <c r="A241" s="415" t="s">
        <v>989</v>
      </c>
      <c r="B241" s="401" t="s">
        <v>556</v>
      </c>
      <c r="C241" s="398" t="s">
        <v>326</v>
      </c>
      <c r="D241" s="473">
        <v>2</v>
      </c>
      <c r="E241" s="446"/>
      <c r="F241" s="446">
        <f t="shared" si="9"/>
        <v>0</v>
      </c>
      <c r="G241" s="375"/>
      <c r="H241" s="375"/>
      <c r="I241" s="375"/>
    </row>
    <row r="242" spans="1:9">
      <c r="A242" s="442" t="s">
        <v>1141</v>
      </c>
      <c r="B242" s="443" t="s">
        <v>543</v>
      </c>
      <c r="C242" s="442"/>
      <c r="D242" s="472"/>
      <c r="E242" s="445"/>
      <c r="F242" s="445"/>
      <c r="G242" s="375"/>
      <c r="H242" s="375"/>
      <c r="I242" s="375"/>
    </row>
    <row r="243" spans="1:9">
      <c r="A243" s="415" t="s">
        <v>1142</v>
      </c>
      <c r="B243" s="401" t="s">
        <v>546</v>
      </c>
      <c r="C243" s="398" t="s">
        <v>326</v>
      </c>
      <c r="D243" s="473">
        <v>2</v>
      </c>
      <c r="E243" s="446"/>
      <c r="F243" s="446">
        <f t="shared" si="9"/>
        <v>0</v>
      </c>
      <c r="G243" s="375"/>
      <c r="H243" s="375"/>
      <c r="I243" s="375"/>
    </row>
    <row r="244" spans="1:9">
      <c r="A244" s="442" t="s">
        <v>993</v>
      </c>
      <c r="B244" s="443" t="s">
        <v>513</v>
      </c>
      <c r="C244" s="442"/>
      <c r="D244" s="472"/>
      <c r="E244" s="445"/>
      <c r="F244" s="445"/>
      <c r="G244" s="375"/>
      <c r="H244" s="375"/>
      <c r="I244" s="375"/>
    </row>
    <row r="245" spans="1:9">
      <c r="A245" s="415" t="s">
        <v>994</v>
      </c>
      <c r="B245" s="401" t="s">
        <v>516</v>
      </c>
      <c r="C245" s="398" t="s">
        <v>326</v>
      </c>
      <c r="D245" s="473">
        <v>2</v>
      </c>
      <c r="E245" s="446"/>
      <c r="F245" s="446">
        <f t="shared" si="9"/>
        <v>0</v>
      </c>
      <c r="G245" s="375"/>
      <c r="H245" s="375"/>
      <c r="I245" s="375"/>
    </row>
    <row r="246" spans="1:9">
      <c r="A246" s="442" t="s">
        <v>995</v>
      </c>
      <c r="B246" s="443" t="s">
        <v>531</v>
      </c>
      <c r="C246" s="442"/>
      <c r="D246" s="472"/>
      <c r="E246" s="445"/>
      <c r="F246" s="445"/>
      <c r="G246" s="375"/>
      <c r="H246" s="375"/>
      <c r="I246" s="375"/>
    </row>
    <row r="247" spans="1:9">
      <c r="A247" s="415" t="s">
        <v>533</v>
      </c>
      <c r="B247" s="401" t="s">
        <v>534</v>
      </c>
      <c r="C247" s="398" t="s">
        <v>326</v>
      </c>
      <c r="D247" s="473">
        <v>10</v>
      </c>
      <c r="E247" s="446"/>
      <c r="F247" s="446">
        <f t="shared" si="9"/>
        <v>0</v>
      </c>
      <c r="G247" s="375"/>
      <c r="H247" s="375"/>
      <c r="I247" s="375"/>
    </row>
    <row r="248" spans="1:9">
      <c r="A248" s="511"/>
      <c r="B248" s="512" t="s">
        <v>1143</v>
      </c>
      <c r="C248" s="513"/>
      <c r="D248" s="514"/>
      <c r="E248" s="515"/>
      <c r="F248" s="516">
        <f>SUM(F214:F247)</f>
        <v>0</v>
      </c>
      <c r="G248" s="375"/>
      <c r="H248" s="375"/>
      <c r="I248" s="375"/>
    </row>
    <row r="249" spans="1:9">
      <c r="A249" s="410"/>
      <c r="B249" s="412"/>
      <c r="C249" s="413"/>
      <c r="D249" s="478"/>
      <c r="E249" s="481"/>
      <c r="F249" s="481"/>
      <c r="G249" s="375"/>
      <c r="H249" s="375"/>
      <c r="I249" s="375"/>
    </row>
    <row r="250" spans="1:9">
      <c r="A250" s="495" t="s">
        <v>1144</v>
      </c>
      <c r="B250" s="495"/>
      <c r="C250" s="460"/>
      <c r="D250" s="496"/>
      <c r="E250" s="497"/>
      <c r="F250" s="497"/>
      <c r="G250" s="375"/>
      <c r="H250" s="375"/>
      <c r="I250" s="375"/>
    </row>
    <row r="251" spans="1:9">
      <c r="A251" s="410"/>
      <c r="B251" s="412"/>
      <c r="C251" s="413"/>
      <c r="D251" s="478"/>
      <c r="E251" s="481"/>
      <c r="F251" s="481"/>
      <c r="G251" s="375"/>
      <c r="H251" s="375"/>
      <c r="I251" s="375"/>
    </row>
    <row r="252" spans="1:9" ht="15.75" customHeight="1">
      <c r="A252" s="438" t="s">
        <v>0</v>
      </c>
      <c r="B252" s="439" t="s">
        <v>967</v>
      </c>
      <c r="C252" s="438" t="s">
        <v>3</v>
      </c>
      <c r="D252" s="441" t="s">
        <v>4</v>
      </c>
      <c r="E252" s="441" t="s">
        <v>9</v>
      </c>
      <c r="F252" s="441" t="s">
        <v>1098</v>
      </c>
      <c r="G252" s="375"/>
      <c r="H252" s="375"/>
      <c r="I252" s="375"/>
    </row>
    <row r="253" spans="1:9">
      <c r="A253" s="442" t="s">
        <v>1145</v>
      </c>
      <c r="B253" s="443" t="s">
        <v>29</v>
      </c>
      <c r="C253" s="442"/>
      <c r="D253" s="472"/>
      <c r="E253" s="445"/>
      <c r="F253" s="445"/>
      <c r="G253" s="375"/>
      <c r="H253" s="375"/>
      <c r="I253" s="375"/>
    </row>
    <row r="254" spans="1:9">
      <c r="A254" s="442" t="s">
        <v>692</v>
      </c>
      <c r="B254" s="443" t="s">
        <v>697</v>
      </c>
      <c r="C254" s="442"/>
      <c r="D254" s="472"/>
      <c r="E254" s="445"/>
      <c r="F254" s="445"/>
      <c r="G254" s="375"/>
      <c r="H254" s="375"/>
      <c r="I254" s="375"/>
    </row>
    <row r="255" spans="1:9" ht="12.6" customHeight="1">
      <c r="A255" s="415" t="s">
        <v>998</v>
      </c>
      <c r="B255" s="401" t="s">
        <v>999</v>
      </c>
      <c r="C255" s="398" t="s">
        <v>67</v>
      </c>
      <c r="D255" s="473">
        <v>48</v>
      </c>
      <c r="E255" s="446"/>
      <c r="F255" s="446">
        <f>+E255*D255</f>
        <v>0</v>
      </c>
      <c r="G255" s="375"/>
      <c r="H255" s="375"/>
      <c r="I255" s="375"/>
    </row>
    <row r="256" spans="1:9">
      <c r="A256" s="442" t="s">
        <v>1000</v>
      </c>
      <c r="B256" s="443" t="s">
        <v>463</v>
      </c>
      <c r="C256" s="442"/>
      <c r="D256" s="472"/>
      <c r="E256" s="445"/>
      <c r="F256" s="445"/>
      <c r="G256" s="375"/>
      <c r="H256" s="375"/>
      <c r="I256" s="375"/>
    </row>
    <row r="257" spans="1:9">
      <c r="A257" s="442" t="s">
        <v>1001</v>
      </c>
      <c r="B257" s="443" t="s">
        <v>1002</v>
      </c>
      <c r="C257" s="442"/>
      <c r="D257" s="472"/>
      <c r="E257" s="445"/>
      <c r="F257" s="445"/>
      <c r="G257" s="375"/>
      <c r="H257" s="375"/>
      <c r="I257" s="375"/>
    </row>
    <row r="258" spans="1:9">
      <c r="A258" s="403" t="s">
        <v>1003</v>
      </c>
      <c r="B258" s="401" t="s">
        <v>1004</v>
      </c>
      <c r="C258" s="398" t="s">
        <v>67</v>
      </c>
      <c r="D258" s="473">
        <v>48</v>
      </c>
      <c r="E258" s="446"/>
      <c r="F258" s="446">
        <f>+E258*D258</f>
        <v>0</v>
      </c>
      <c r="G258" s="375"/>
      <c r="H258" s="375"/>
      <c r="I258" s="375"/>
    </row>
    <row r="259" spans="1:9">
      <c r="A259" s="442" t="s">
        <v>1007</v>
      </c>
      <c r="B259" s="443" t="s">
        <v>456</v>
      </c>
      <c r="C259" s="442"/>
      <c r="D259" s="472"/>
      <c r="E259" s="445"/>
      <c r="F259" s="445"/>
      <c r="G259" s="375"/>
      <c r="H259" s="375"/>
      <c r="I259" s="375"/>
    </row>
    <row r="260" spans="1:9">
      <c r="A260" s="403" t="s">
        <v>1008</v>
      </c>
      <c r="B260" s="401" t="s">
        <v>458</v>
      </c>
      <c r="C260" s="398" t="s">
        <v>67</v>
      </c>
      <c r="D260" s="473">
        <v>60</v>
      </c>
      <c r="E260" s="446"/>
      <c r="F260" s="446">
        <f>+E260*D260</f>
        <v>0</v>
      </c>
      <c r="G260" s="375"/>
      <c r="H260" s="375"/>
      <c r="I260" s="375"/>
    </row>
    <row r="261" spans="1:9">
      <c r="A261" s="403" t="s">
        <v>1009</v>
      </c>
      <c r="B261" s="401" t="s">
        <v>460</v>
      </c>
      <c r="C261" s="398" t="s">
        <v>67</v>
      </c>
      <c r="D261" s="473">
        <v>48</v>
      </c>
      <c r="E261" s="446"/>
      <c r="F261" s="446">
        <f>+E261*D261</f>
        <v>0</v>
      </c>
      <c r="G261" s="375"/>
      <c r="H261" s="375"/>
      <c r="I261" s="375"/>
    </row>
    <row r="262" spans="1:9">
      <c r="A262" s="442" t="s">
        <v>1146</v>
      </c>
      <c r="B262" s="443" t="s">
        <v>483</v>
      </c>
      <c r="C262" s="442"/>
      <c r="D262" s="472"/>
      <c r="E262" s="445"/>
      <c r="F262" s="445"/>
      <c r="G262" s="375"/>
      <c r="H262" s="375"/>
      <c r="I262" s="375"/>
    </row>
    <row r="263" spans="1:9">
      <c r="A263" s="403" t="s">
        <v>484</v>
      </c>
      <c r="B263" s="401" t="s">
        <v>488</v>
      </c>
      <c r="C263" s="398" t="s">
        <v>3</v>
      </c>
      <c r="D263" s="473">
        <v>2</v>
      </c>
      <c r="E263" s="446"/>
      <c r="F263" s="446">
        <f>+E263*D263</f>
        <v>0</v>
      </c>
      <c r="G263" s="375"/>
      <c r="H263" s="375"/>
      <c r="I263" s="375"/>
    </row>
    <row r="264" spans="1:9">
      <c r="A264" s="403" t="s">
        <v>487</v>
      </c>
      <c r="B264" s="401" t="s">
        <v>485</v>
      </c>
      <c r="C264" s="398" t="s">
        <v>3</v>
      </c>
      <c r="D264" s="473">
        <v>2</v>
      </c>
      <c r="E264" s="446"/>
      <c r="F264" s="446">
        <f t="shared" ref="F264:F275" si="10">+E264*D264</f>
        <v>0</v>
      </c>
      <c r="G264" s="375"/>
      <c r="H264" s="375"/>
      <c r="I264" s="375"/>
    </row>
    <row r="265" spans="1:9">
      <c r="A265" s="403" t="s">
        <v>490</v>
      </c>
      <c r="B265" s="401" t="s">
        <v>491</v>
      </c>
      <c r="C265" s="398" t="s">
        <v>3</v>
      </c>
      <c r="D265" s="473">
        <v>4</v>
      </c>
      <c r="E265" s="446"/>
      <c r="F265" s="446">
        <f t="shared" si="10"/>
        <v>0</v>
      </c>
      <c r="G265" s="375"/>
      <c r="H265" s="375"/>
      <c r="I265" s="375"/>
    </row>
    <row r="266" spans="1:9">
      <c r="A266" s="403" t="s">
        <v>493</v>
      </c>
      <c r="B266" s="401" t="s">
        <v>494</v>
      </c>
      <c r="C266" s="398" t="s">
        <v>3</v>
      </c>
      <c r="D266" s="473">
        <v>2</v>
      </c>
      <c r="E266" s="446"/>
      <c r="F266" s="446">
        <f t="shared" si="10"/>
        <v>0</v>
      </c>
      <c r="G266" s="375"/>
      <c r="H266" s="375"/>
      <c r="I266" s="375"/>
    </row>
    <row r="267" spans="1:9">
      <c r="A267" s="442" t="s">
        <v>1010</v>
      </c>
      <c r="B267" s="443" t="s">
        <v>72</v>
      </c>
      <c r="C267" s="442"/>
      <c r="D267" s="472"/>
      <c r="E267" s="445"/>
      <c r="F267" s="445"/>
      <c r="G267" s="375"/>
      <c r="H267" s="375"/>
      <c r="I267" s="375"/>
    </row>
    <row r="268" spans="1:9">
      <c r="A268" s="442" t="s">
        <v>1024</v>
      </c>
      <c r="B268" s="443" t="s">
        <v>1025</v>
      </c>
      <c r="C268" s="442"/>
      <c r="D268" s="472"/>
      <c r="E268" s="445"/>
      <c r="F268" s="445"/>
      <c r="G268" s="375"/>
      <c r="H268" s="375"/>
      <c r="I268" s="375"/>
    </row>
    <row r="269" spans="1:9">
      <c r="A269" s="415" t="s">
        <v>609</v>
      </c>
      <c r="B269" s="401" t="s">
        <v>610</v>
      </c>
      <c r="C269" s="398" t="s">
        <v>3</v>
      </c>
      <c r="D269" s="473">
        <v>2</v>
      </c>
      <c r="E269" s="446"/>
      <c r="F269" s="446">
        <f t="shared" si="10"/>
        <v>0</v>
      </c>
      <c r="G269" s="375"/>
      <c r="H269" s="375"/>
      <c r="I269" s="375"/>
    </row>
    <row r="270" spans="1:9">
      <c r="A270" s="415" t="s">
        <v>1027</v>
      </c>
      <c r="B270" s="401" t="s">
        <v>768</v>
      </c>
      <c r="C270" s="398" t="s">
        <v>3</v>
      </c>
      <c r="D270" s="473">
        <v>4</v>
      </c>
      <c r="E270" s="446"/>
      <c r="F270" s="446">
        <f t="shared" si="10"/>
        <v>0</v>
      </c>
      <c r="G270" s="375"/>
      <c r="H270" s="375"/>
      <c r="I270" s="375"/>
    </row>
    <row r="271" spans="1:9">
      <c r="A271" s="415" t="s">
        <v>1029</v>
      </c>
      <c r="B271" s="401" t="s">
        <v>97</v>
      </c>
      <c r="C271" s="398" t="s">
        <v>3</v>
      </c>
      <c r="D271" s="473">
        <v>4</v>
      </c>
      <c r="E271" s="446"/>
      <c r="F271" s="446">
        <f t="shared" si="10"/>
        <v>0</v>
      </c>
      <c r="G271" s="375"/>
      <c r="H271" s="375"/>
      <c r="I271" s="375"/>
    </row>
    <row r="272" spans="1:9">
      <c r="A272" s="442" t="s">
        <v>1011</v>
      </c>
      <c r="B272" s="443" t="s">
        <v>101</v>
      </c>
      <c r="C272" s="442"/>
      <c r="D272" s="472"/>
      <c r="E272" s="445"/>
      <c r="F272" s="445"/>
      <c r="G272" s="375"/>
      <c r="H272" s="375"/>
      <c r="I272" s="375"/>
    </row>
    <row r="273" spans="1:9">
      <c r="A273" s="415" t="s">
        <v>1013</v>
      </c>
      <c r="B273" s="401" t="s">
        <v>109</v>
      </c>
      <c r="C273" s="398" t="s">
        <v>3</v>
      </c>
      <c r="D273" s="473">
        <v>2</v>
      </c>
      <c r="E273" s="446"/>
      <c r="F273" s="446">
        <f t="shared" si="10"/>
        <v>0</v>
      </c>
      <c r="G273" s="375"/>
      <c r="H273" s="375"/>
      <c r="I273" s="375"/>
    </row>
    <row r="274" spans="1:9">
      <c r="A274" s="442" t="s">
        <v>1147</v>
      </c>
      <c r="B274" s="443" t="s">
        <v>75</v>
      </c>
      <c r="C274" s="442"/>
      <c r="D274" s="472"/>
      <c r="E274" s="445"/>
      <c r="F274" s="445"/>
      <c r="G274" s="375"/>
      <c r="H274" s="375"/>
      <c r="I274" s="375"/>
    </row>
    <row r="275" spans="1:9" ht="27.6">
      <c r="A275" s="415" t="s">
        <v>1148</v>
      </c>
      <c r="B275" s="401" t="s">
        <v>80</v>
      </c>
      <c r="C275" s="398" t="s">
        <v>3</v>
      </c>
      <c r="D275" s="473">
        <v>2</v>
      </c>
      <c r="E275" s="446"/>
      <c r="F275" s="446">
        <f t="shared" si="10"/>
        <v>0</v>
      </c>
      <c r="G275" s="375"/>
      <c r="H275" s="375"/>
      <c r="I275" s="375"/>
    </row>
    <row r="276" spans="1:9">
      <c r="A276" s="511"/>
      <c r="B276" s="512" t="s">
        <v>1149</v>
      </c>
      <c r="C276" s="513"/>
      <c r="D276" s="514"/>
      <c r="E276" s="515"/>
      <c r="F276" s="516">
        <f>SUM(F255:F275)</f>
        <v>0</v>
      </c>
      <c r="G276" s="375"/>
      <c r="H276" s="375"/>
      <c r="I276" s="375"/>
    </row>
    <row r="277" spans="1:9">
      <c r="A277" s="511"/>
      <c r="B277" s="512" t="s">
        <v>1150</v>
      </c>
      <c r="C277" s="513"/>
      <c r="D277" s="514"/>
      <c r="E277" s="515"/>
      <c r="F277" s="516">
        <f>+F276+F248</f>
        <v>0</v>
      </c>
      <c r="G277" s="375"/>
      <c r="H277" s="375"/>
      <c r="I277" s="375"/>
    </row>
    <row r="278" spans="1:9">
      <c r="A278" s="410"/>
      <c r="B278" s="412"/>
      <c r="C278" s="413"/>
      <c r="D278" s="478"/>
      <c r="E278" s="481"/>
      <c r="F278" s="481"/>
      <c r="G278" s="375"/>
      <c r="H278" s="375"/>
      <c r="I278" s="375"/>
    </row>
    <row r="279" spans="1:9">
      <c r="A279" s="495" t="s">
        <v>1151</v>
      </c>
      <c r="B279" s="495"/>
      <c r="C279" s="460"/>
      <c r="D279" s="496"/>
      <c r="E279" s="497"/>
      <c r="F279" s="497"/>
      <c r="G279" s="375"/>
      <c r="H279" s="375"/>
      <c r="I279" s="375"/>
    </row>
    <row r="280" spans="1:9" ht="15.75" customHeight="1">
      <c r="A280" s="438" t="s">
        <v>0</v>
      </c>
      <c r="B280" s="439" t="s">
        <v>967</v>
      </c>
      <c r="C280" s="438" t="s">
        <v>3</v>
      </c>
      <c r="D280" s="441" t="s">
        <v>4</v>
      </c>
      <c r="E280" s="441" t="s">
        <v>9</v>
      </c>
      <c r="F280" s="441" t="s">
        <v>1098</v>
      </c>
      <c r="G280" s="375"/>
      <c r="H280" s="375"/>
      <c r="I280" s="375"/>
    </row>
    <row r="281" spans="1:9">
      <c r="A281" s="442" t="s">
        <v>1034</v>
      </c>
      <c r="B281" s="443" t="s">
        <v>827</v>
      </c>
      <c r="C281" s="442"/>
      <c r="D281" s="472"/>
      <c r="E281" s="445"/>
      <c r="F281" s="445"/>
      <c r="G281" s="375"/>
      <c r="H281" s="375"/>
      <c r="I281" s="375"/>
    </row>
    <row r="282" spans="1:9">
      <c r="A282" s="415" t="s">
        <v>1035</v>
      </c>
      <c r="B282" s="401" t="s">
        <v>831</v>
      </c>
      <c r="C282" s="398" t="s">
        <v>67</v>
      </c>
      <c r="D282" s="483">
        <v>30</v>
      </c>
      <c r="E282" s="446"/>
      <c r="F282" s="446">
        <f>+E282*D282</f>
        <v>0</v>
      </c>
      <c r="G282" s="375"/>
      <c r="H282" s="375"/>
      <c r="I282" s="375"/>
    </row>
    <row r="283" spans="1:9">
      <c r="A283" s="442" t="s">
        <v>899</v>
      </c>
      <c r="B283" s="443" t="s">
        <v>323</v>
      </c>
      <c r="C283" s="442"/>
      <c r="D283" s="472"/>
      <c r="E283" s="445"/>
      <c r="F283" s="445"/>
      <c r="G283" s="375"/>
      <c r="H283" s="375"/>
      <c r="I283" s="375"/>
    </row>
    <row r="284" spans="1:9">
      <c r="A284" s="398" t="s">
        <v>900</v>
      </c>
      <c r="B284" s="401" t="s">
        <v>325</v>
      </c>
      <c r="C284" s="398" t="s">
        <v>326</v>
      </c>
      <c r="D284" s="473">
        <v>6</v>
      </c>
      <c r="E284" s="446"/>
      <c r="F284" s="446">
        <f>+E284*D284</f>
        <v>0</v>
      </c>
      <c r="G284" s="375"/>
      <c r="H284" s="375"/>
      <c r="I284" s="375"/>
    </row>
    <row r="285" spans="1:9">
      <c r="A285" s="398" t="s">
        <v>902</v>
      </c>
      <c r="B285" s="401" t="s">
        <v>328</v>
      </c>
      <c r="C285" s="398" t="s">
        <v>326</v>
      </c>
      <c r="D285" s="473">
        <v>54</v>
      </c>
      <c r="E285" s="446"/>
      <c r="F285" s="446">
        <f>+E285*D285</f>
        <v>0</v>
      </c>
      <c r="G285" s="375"/>
      <c r="H285" s="375"/>
      <c r="I285" s="375"/>
    </row>
    <row r="286" spans="1:9">
      <c r="A286" s="442" t="s">
        <v>1037</v>
      </c>
      <c r="B286" s="443" t="s">
        <v>14</v>
      </c>
      <c r="C286" s="442"/>
      <c r="D286" s="472"/>
      <c r="E286" s="445"/>
      <c r="F286" s="445"/>
      <c r="G286" s="375"/>
      <c r="H286" s="375"/>
      <c r="I286" s="375"/>
    </row>
    <row r="287" spans="1:9">
      <c r="A287" s="415" t="s">
        <v>1038</v>
      </c>
      <c r="B287" s="401" t="s">
        <v>1039</v>
      </c>
      <c r="C287" s="398" t="s">
        <v>326</v>
      </c>
      <c r="D287" s="473">
        <v>4</v>
      </c>
      <c r="E287" s="446"/>
      <c r="F287" s="446">
        <f>+E287*D287</f>
        <v>0</v>
      </c>
      <c r="G287" s="375"/>
      <c r="H287" s="375"/>
      <c r="I287" s="375"/>
    </row>
    <row r="288" spans="1:9">
      <c r="A288" s="415" t="s">
        <v>1040</v>
      </c>
      <c r="B288" s="401" t="s">
        <v>590</v>
      </c>
      <c r="C288" s="398" t="s">
        <v>326</v>
      </c>
      <c r="D288" s="473">
        <v>4</v>
      </c>
      <c r="E288" s="446"/>
      <c r="F288" s="446">
        <f>+E288*D288</f>
        <v>0</v>
      </c>
      <c r="G288" s="375"/>
      <c r="H288" s="375"/>
      <c r="I288" s="375"/>
    </row>
    <row r="289" spans="1:9">
      <c r="A289" s="415" t="s">
        <v>1041</v>
      </c>
      <c r="B289" s="401" t="s">
        <v>506</v>
      </c>
      <c r="C289" s="398" t="s">
        <v>326</v>
      </c>
      <c r="D289" s="473">
        <v>2</v>
      </c>
      <c r="E289" s="446"/>
      <c r="F289" s="446">
        <f>+E289*D289</f>
        <v>0</v>
      </c>
      <c r="G289" s="375"/>
      <c r="H289" s="375"/>
      <c r="I289" s="375"/>
    </row>
    <row r="290" spans="1:9">
      <c r="A290" s="415" t="s">
        <v>567</v>
      </c>
      <c r="B290" s="401" t="s">
        <v>568</v>
      </c>
      <c r="C290" s="398" t="s">
        <v>326</v>
      </c>
      <c r="D290" s="473">
        <v>2</v>
      </c>
      <c r="E290" s="446"/>
      <c r="F290" s="446">
        <f>+E290*D290</f>
        <v>0</v>
      </c>
      <c r="G290" s="375"/>
      <c r="H290" s="375"/>
      <c r="I290" s="375"/>
    </row>
    <row r="291" spans="1:9">
      <c r="A291" s="415" t="s">
        <v>989</v>
      </c>
      <c r="B291" s="401" t="s">
        <v>553</v>
      </c>
      <c r="C291" s="398" t="s">
        <v>326</v>
      </c>
      <c r="D291" s="473">
        <v>2</v>
      </c>
      <c r="E291" s="446"/>
      <c r="F291" s="446">
        <f>+E291*D291</f>
        <v>0</v>
      </c>
      <c r="G291" s="375"/>
      <c r="H291" s="375"/>
      <c r="I291" s="375"/>
    </row>
    <row r="292" spans="1:9">
      <c r="A292" s="442" t="s">
        <v>1152</v>
      </c>
      <c r="B292" s="443" t="s">
        <v>613</v>
      </c>
      <c r="C292" s="442"/>
      <c r="D292" s="472"/>
      <c r="E292" s="445"/>
      <c r="F292" s="445"/>
      <c r="G292" s="375"/>
      <c r="H292" s="375"/>
      <c r="I292" s="375"/>
    </row>
    <row r="293" spans="1:9">
      <c r="A293" s="406" t="s">
        <v>618</v>
      </c>
      <c r="B293" s="401" t="s">
        <v>616</v>
      </c>
      <c r="C293" s="398" t="s">
        <v>123</v>
      </c>
      <c r="D293" s="473">
        <v>1</v>
      </c>
      <c r="E293" s="446"/>
      <c r="F293" s="446">
        <f>+E293*D293</f>
        <v>0</v>
      </c>
      <c r="G293" s="375"/>
      <c r="H293" s="375"/>
      <c r="I293" s="375"/>
    </row>
    <row r="294" spans="1:9">
      <c r="A294" s="406" t="s">
        <v>615</v>
      </c>
      <c r="B294" s="401" t="s">
        <v>619</v>
      </c>
      <c r="C294" s="398" t="s">
        <v>123</v>
      </c>
      <c r="D294" s="473">
        <v>1</v>
      </c>
      <c r="E294" s="446"/>
      <c r="F294" s="446">
        <f>+E294*D294</f>
        <v>0</v>
      </c>
      <c r="G294" s="375"/>
      <c r="H294" s="375"/>
      <c r="I294" s="375"/>
    </row>
    <row r="295" spans="1:9">
      <c r="A295" s="406" t="s">
        <v>808</v>
      </c>
      <c r="B295" s="401" t="s">
        <v>622</v>
      </c>
      <c r="C295" s="398" t="s">
        <v>3</v>
      </c>
      <c r="D295" s="473">
        <v>2</v>
      </c>
      <c r="E295" s="446"/>
      <c r="F295" s="446">
        <f>+E295*D295</f>
        <v>0</v>
      </c>
      <c r="G295" s="375"/>
      <c r="H295" s="375"/>
      <c r="I295" s="375"/>
    </row>
    <row r="296" spans="1:9">
      <c r="A296" s="511"/>
      <c r="B296" s="512" t="s">
        <v>1153</v>
      </c>
      <c r="C296" s="513"/>
      <c r="D296" s="514"/>
      <c r="E296" s="515"/>
      <c r="F296" s="516">
        <f>SUM(F282:F295)</f>
        <v>0</v>
      </c>
      <c r="G296" s="375"/>
      <c r="H296" s="375"/>
      <c r="I296" s="375"/>
    </row>
    <row r="297" spans="1:9">
      <c r="A297" s="410"/>
      <c r="B297" s="412"/>
      <c r="C297" s="413"/>
      <c r="D297" s="478"/>
      <c r="E297" s="481"/>
      <c r="F297" s="481"/>
      <c r="G297" s="375"/>
      <c r="H297" s="375"/>
      <c r="I297" s="375"/>
    </row>
    <row r="298" spans="1:9">
      <c r="A298" s="495" t="s">
        <v>1154</v>
      </c>
      <c r="B298" s="495"/>
      <c r="C298" s="460"/>
      <c r="D298" s="496"/>
      <c r="E298" s="497"/>
      <c r="F298" s="497"/>
      <c r="G298" s="375"/>
      <c r="H298" s="375"/>
      <c r="I298" s="375"/>
    </row>
    <row r="299" spans="1:9">
      <c r="A299" s="438" t="s">
        <v>0</v>
      </c>
      <c r="B299" s="439" t="s">
        <v>1155</v>
      </c>
      <c r="C299" s="438" t="s">
        <v>3</v>
      </c>
      <c r="D299" s="441" t="s">
        <v>839</v>
      </c>
      <c r="E299" s="441" t="s">
        <v>1156</v>
      </c>
      <c r="F299" s="441" t="s">
        <v>1098</v>
      </c>
      <c r="G299" s="375"/>
      <c r="H299" s="375"/>
      <c r="I299" s="375"/>
    </row>
    <row r="300" spans="1:9">
      <c r="A300" s="442" t="s">
        <v>931</v>
      </c>
      <c r="B300" s="443" t="s">
        <v>206</v>
      </c>
      <c r="C300" s="442"/>
      <c r="D300" s="472"/>
      <c r="E300" s="445"/>
      <c r="F300" s="445"/>
      <c r="G300" s="375"/>
      <c r="H300" s="375"/>
      <c r="I300" s="375"/>
    </row>
    <row r="301" spans="1:9">
      <c r="A301" s="442" t="s">
        <v>932</v>
      </c>
      <c r="B301" s="443" t="s">
        <v>208</v>
      </c>
      <c r="C301" s="442"/>
      <c r="D301" s="472"/>
      <c r="E301" s="445"/>
      <c r="F301" s="445"/>
      <c r="G301" s="375"/>
      <c r="H301" s="375"/>
      <c r="I301" s="375"/>
    </row>
    <row r="302" spans="1:9">
      <c r="A302" s="406" t="s">
        <v>207</v>
      </c>
      <c r="B302" s="401" t="s">
        <v>217</v>
      </c>
      <c r="C302" s="398" t="s">
        <v>175</v>
      </c>
      <c r="D302" s="473">
        <v>1</v>
      </c>
      <c r="E302" s="446"/>
      <c r="F302" s="446">
        <f>+E302*D302</f>
        <v>0</v>
      </c>
      <c r="G302" s="375"/>
      <c r="H302" s="375"/>
      <c r="I302" s="375"/>
    </row>
    <row r="303" spans="1:9">
      <c r="A303" s="406" t="s">
        <v>210</v>
      </c>
      <c r="B303" s="401" t="s">
        <v>211</v>
      </c>
      <c r="C303" s="398" t="s">
        <v>175</v>
      </c>
      <c r="D303" s="473">
        <v>5</v>
      </c>
      <c r="E303" s="446"/>
      <c r="F303" s="446">
        <f t="shared" ref="F303:F325" si="11">+E303*D303</f>
        <v>0</v>
      </c>
      <c r="G303" s="375"/>
      <c r="H303" s="375"/>
      <c r="I303" s="375"/>
    </row>
    <row r="304" spans="1:9">
      <c r="A304" s="442" t="s">
        <v>933</v>
      </c>
      <c r="B304" s="443" t="s">
        <v>219</v>
      </c>
      <c r="C304" s="442"/>
      <c r="D304" s="472"/>
      <c r="E304" s="445"/>
      <c r="F304" s="445"/>
      <c r="G304" s="375"/>
      <c r="H304" s="375"/>
      <c r="I304" s="375"/>
    </row>
    <row r="305" spans="1:9">
      <c r="A305" s="406" t="s">
        <v>934</v>
      </c>
      <c r="B305" s="401" t="s">
        <v>223</v>
      </c>
      <c r="C305" s="398" t="s">
        <v>224</v>
      </c>
      <c r="D305" s="473">
        <v>4</v>
      </c>
      <c r="E305" s="446"/>
      <c r="F305" s="446">
        <f t="shared" si="11"/>
        <v>0</v>
      </c>
      <c r="G305" s="375"/>
      <c r="H305" s="375"/>
      <c r="I305" s="375"/>
    </row>
    <row r="306" spans="1:9">
      <c r="A306" s="406" t="s">
        <v>935</v>
      </c>
      <c r="B306" s="401" t="s">
        <v>236</v>
      </c>
      <c r="C306" s="398" t="s">
        <v>224</v>
      </c>
      <c r="D306" s="473">
        <v>3</v>
      </c>
      <c r="E306" s="446"/>
      <c r="F306" s="446">
        <f t="shared" si="11"/>
        <v>0</v>
      </c>
      <c r="G306" s="375"/>
      <c r="H306" s="375"/>
      <c r="I306" s="375"/>
    </row>
    <row r="307" spans="1:9">
      <c r="A307" s="406" t="s">
        <v>937</v>
      </c>
      <c r="B307" s="401" t="s">
        <v>126</v>
      </c>
      <c r="C307" s="398" t="s">
        <v>67</v>
      </c>
      <c r="D307" s="473">
        <v>700</v>
      </c>
      <c r="E307" s="446"/>
      <c r="F307" s="446">
        <f t="shared" si="11"/>
        <v>0</v>
      </c>
      <c r="G307" s="375"/>
      <c r="H307" s="375"/>
      <c r="I307" s="375"/>
    </row>
    <row r="308" spans="1:9">
      <c r="A308" s="406" t="s">
        <v>938</v>
      </c>
      <c r="B308" s="401" t="s">
        <v>122</v>
      </c>
      <c r="C308" s="398" t="s">
        <v>123</v>
      </c>
      <c r="D308" s="473">
        <v>1</v>
      </c>
      <c r="E308" s="446"/>
      <c r="F308" s="446">
        <f t="shared" si="11"/>
        <v>0</v>
      </c>
      <c r="G308" s="375"/>
      <c r="H308" s="375"/>
      <c r="I308" s="375"/>
    </row>
    <row r="309" spans="1:9">
      <c r="A309" s="442" t="s">
        <v>939</v>
      </c>
      <c r="B309" s="443" t="s">
        <v>152</v>
      </c>
      <c r="C309" s="442"/>
      <c r="D309" s="472"/>
      <c r="E309" s="445"/>
      <c r="F309" s="445"/>
      <c r="G309" s="375"/>
      <c r="H309" s="375"/>
      <c r="I309" s="375"/>
    </row>
    <row r="310" spans="1:9">
      <c r="A310" s="406" t="s">
        <v>153</v>
      </c>
      <c r="B310" s="401" t="s">
        <v>154</v>
      </c>
      <c r="C310" s="398" t="s">
        <v>155</v>
      </c>
      <c r="D310" s="473">
        <v>1</v>
      </c>
      <c r="E310" s="446"/>
      <c r="F310" s="446">
        <f t="shared" si="11"/>
        <v>0</v>
      </c>
      <c r="G310" s="375"/>
      <c r="H310" s="375"/>
      <c r="I310" s="375"/>
    </row>
    <row r="311" spans="1:9">
      <c r="A311" s="442" t="s">
        <v>940</v>
      </c>
      <c r="B311" s="443" t="s">
        <v>144</v>
      </c>
      <c r="C311" s="442"/>
      <c r="D311" s="472"/>
      <c r="E311" s="445"/>
      <c r="F311" s="445"/>
      <c r="G311" s="375"/>
      <c r="H311" s="375"/>
      <c r="I311" s="375"/>
    </row>
    <row r="312" spans="1:9">
      <c r="A312" s="406" t="s">
        <v>941</v>
      </c>
      <c r="B312" s="401" t="s">
        <v>150</v>
      </c>
      <c r="C312" s="398" t="s">
        <v>175</v>
      </c>
      <c r="D312" s="483">
        <v>37</v>
      </c>
      <c r="E312" s="446"/>
      <c r="F312" s="446">
        <f t="shared" si="11"/>
        <v>0</v>
      </c>
      <c r="G312" s="375"/>
      <c r="H312" s="375"/>
      <c r="I312" s="375"/>
    </row>
    <row r="313" spans="1:9">
      <c r="A313" s="406" t="s">
        <v>942</v>
      </c>
      <c r="B313" s="401" t="s">
        <v>148</v>
      </c>
      <c r="C313" s="398" t="s">
        <v>175</v>
      </c>
      <c r="D313" s="483">
        <v>12</v>
      </c>
      <c r="E313" s="446"/>
      <c r="F313" s="446">
        <f t="shared" si="11"/>
        <v>0</v>
      </c>
      <c r="G313" s="375"/>
      <c r="H313" s="375"/>
      <c r="I313" s="375"/>
    </row>
    <row r="314" spans="1:9">
      <c r="A314" s="442" t="s">
        <v>943</v>
      </c>
      <c r="B314" s="443" t="s">
        <v>162</v>
      </c>
      <c r="C314" s="442"/>
      <c r="D314" s="472"/>
      <c r="E314" s="445"/>
      <c r="F314" s="445"/>
      <c r="G314" s="375"/>
      <c r="H314" s="375"/>
      <c r="I314" s="375"/>
    </row>
    <row r="315" spans="1:9" ht="27.6">
      <c r="A315" s="406" t="s">
        <v>944</v>
      </c>
      <c r="B315" s="401" t="s">
        <v>945</v>
      </c>
      <c r="C315" s="398" t="s">
        <v>175</v>
      </c>
      <c r="D315" s="473">
        <v>36</v>
      </c>
      <c r="E315" s="446"/>
      <c r="F315" s="446">
        <f t="shared" si="11"/>
        <v>0</v>
      </c>
      <c r="G315" s="375"/>
      <c r="H315" s="375"/>
      <c r="I315" s="375"/>
    </row>
    <row r="316" spans="1:9">
      <c r="A316" s="442" t="s">
        <v>946</v>
      </c>
      <c r="B316" s="443" t="s">
        <v>171</v>
      </c>
      <c r="C316" s="442"/>
      <c r="D316" s="472"/>
      <c r="E316" s="445"/>
      <c r="F316" s="445"/>
      <c r="G316" s="375"/>
      <c r="H316" s="375"/>
      <c r="I316" s="375"/>
    </row>
    <row r="317" spans="1:9">
      <c r="A317" s="406" t="s">
        <v>947</v>
      </c>
      <c r="B317" s="401" t="s">
        <v>200</v>
      </c>
      <c r="C317" s="398" t="s">
        <v>175</v>
      </c>
      <c r="D317" s="473">
        <v>1</v>
      </c>
      <c r="E317" s="446"/>
      <c r="F317" s="446">
        <f t="shared" si="11"/>
        <v>0</v>
      </c>
      <c r="G317" s="375"/>
      <c r="H317" s="375"/>
      <c r="I317" s="375"/>
    </row>
    <row r="318" spans="1:9">
      <c r="A318" s="406" t="s">
        <v>948</v>
      </c>
      <c r="B318" s="401" t="s">
        <v>198</v>
      </c>
      <c r="C318" s="398" t="s">
        <v>175</v>
      </c>
      <c r="D318" s="473">
        <v>2</v>
      </c>
      <c r="E318" s="446"/>
      <c r="F318" s="446">
        <f t="shared" si="11"/>
        <v>0</v>
      </c>
      <c r="G318" s="375"/>
      <c r="H318" s="375"/>
      <c r="I318" s="375"/>
    </row>
    <row r="319" spans="1:9">
      <c r="A319" s="406" t="s">
        <v>949</v>
      </c>
      <c r="B319" s="401" t="s">
        <v>202</v>
      </c>
      <c r="C319" s="398" t="s">
        <v>175</v>
      </c>
      <c r="D319" s="473">
        <v>3</v>
      </c>
      <c r="E319" s="446"/>
      <c r="F319" s="446">
        <f t="shared" si="11"/>
        <v>0</v>
      </c>
      <c r="G319" s="375"/>
      <c r="H319" s="375"/>
      <c r="I319" s="375"/>
    </row>
    <row r="320" spans="1:9">
      <c r="A320" s="406" t="s">
        <v>950</v>
      </c>
      <c r="B320" s="401" t="s">
        <v>190</v>
      </c>
      <c r="C320" s="398" t="s">
        <v>175</v>
      </c>
      <c r="D320" s="473">
        <v>3</v>
      </c>
      <c r="E320" s="446"/>
      <c r="F320" s="446">
        <f t="shared" si="11"/>
        <v>0</v>
      </c>
      <c r="G320" s="375"/>
      <c r="H320" s="375"/>
      <c r="I320" s="375"/>
    </row>
    <row r="321" spans="1:9">
      <c r="A321" s="406" t="s">
        <v>951</v>
      </c>
      <c r="B321" s="401" t="s">
        <v>188</v>
      </c>
      <c r="C321" s="398" t="s">
        <v>175</v>
      </c>
      <c r="D321" s="473">
        <v>6</v>
      </c>
      <c r="E321" s="446"/>
      <c r="F321" s="446">
        <f t="shared" si="11"/>
        <v>0</v>
      </c>
      <c r="G321" s="375"/>
      <c r="H321" s="375"/>
      <c r="I321" s="375"/>
    </row>
    <row r="322" spans="1:9">
      <c r="A322" s="406" t="s">
        <v>952</v>
      </c>
      <c r="B322" s="401" t="s">
        <v>174</v>
      </c>
      <c r="C322" s="398" t="s">
        <v>175</v>
      </c>
      <c r="D322" s="473">
        <v>4</v>
      </c>
      <c r="E322" s="446"/>
      <c r="F322" s="446">
        <f t="shared" si="11"/>
        <v>0</v>
      </c>
      <c r="G322" s="375"/>
      <c r="H322" s="375"/>
      <c r="I322" s="375"/>
    </row>
    <row r="323" spans="1:9">
      <c r="A323" s="406" t="s">
        <v>953</v>
      </c>
      <c r="B323" s="401" t="s">
        <v>954</v>
      </c>
      <c r="C323" s="398" t="s">
        <v>181</v>
      </c>
      <c r="D323" s="473">
        <v>1</v>
      </c>
      <c r="E323" s="446"/>
      <c r="F323" s="446">
        <f t="shared" si="11"/>
        <v>0</v>
      </c>
      <c r="G323" s="375"/>
      <c r="H323" s="375"/>
      <c r="I323" s="375"/>
    </row>
    <row r="324" spans="1:9">
      <c r="A324" s="442" t="s">
        <v>963</v>
      </c>
      <c r="B324" s="443" t="s">
        <v>157</v>
      </c>
      <c r="C324" s="442"/>
      <c r="D324" s="472"/>
      <c r="E324" s="445"/>
      <c r="F324" s="445"/>
      <c r="G324" s="375"/>
      <c r="H324" s="375"/>
      <c r="I324" s="375"/>
    </row>
    <row r="325" spans="1:9">
      <c r="A325" s="406" t="s">
        <v>964</v>
      </c>
      <c r="B325" s="401" t="s">
        <v>160</v>
      </c>
      <c r="C325" s="398" t="s">
        <v>175</v>
      </c>
      <c r="D325" s="473">
        <v>1</v>
      </c>
      <c r="E325" s="446"/>
      <c r="F325" s="446">
        <f t="shared" si="11"/>
        <v>0</v>
      </c>
      <c r="G325" s="375"/>
      <c r="H325" s="375"/>
      <c r="I325" s="375"/>
    </row>
    <row r="326" spans="1:9">
      <c r="A326" s="511"/>
      <c r="B326" s="512" t="s">
        <v>1157</v>
      </c>
      <c r="C326" s="513"/>
      <c r="D326" s="514"/>
      <c r="E326" s="515"/>
      <c r="F326" s="516">
        <f>SUM(F302:F325)</f>
        <v>0</v>
      </c>
      <c r="G326" s="375"/>
      <c r="H326" s="375"/>
      <c r="I326" s="375"/>
    </row>
    <row r="327" spans="1:9" ht="15" thickBot="1">
      <c r="A327" s="418"/>
      <c r="B327" s="419"/>
      <c r="C327" s="421"/>
      <c r="D327" s="485"/>
      <c r="E327" s="486"/>
      <c r="F327" s="487"/>
      <c r="G327" s="375"/>
      <c r="H327" s="375"/>
      <c r="I327" s="375"/>
    </row>
    <row r="328" spans="1:9" ht="31.15" customHeight="1" thickBot="1">
      <c r="A328" s="394"/>
      <c r="B328" s="468" t="s">
        <v>1158</v>
      </c>
      <c r="C328" s="469"/>
      <c r="D328" s="488"/>
      <c r="E328" s="489"/>
      <c r="F328" s="490">
        <f>+F326+F296+F277+F248+F208+F140+F112+F84+F71</f>
        <v>0</v>
      </c>
      <c r="G328" s="375"/>
      <c r="H328" s="375"/>
      <c r="I328" s="375"/>
    </row>
    <row r="329" spans="1:9">
      <c r="A329" s="368"/>
      <c r="B329" s="382"/>
      <c r="C329" s="384"/>
      <c r="D329" s="491"/>
      <c r="E329" s="492"/>
      <c r="F329" s="493"/>
      <c r="G329" s="375"/>
      <c r="H329" s="375"/>
      <c r="I329" s="375"/>
    </row>
  </sheetData>
  <mergeCells count="208">
    <mergeCell ref="G2:I2"/>
    <mergeCell ref="G16:I16"/>
    <mergeCell ref="G17:I17"/>
    <mergeCell ref="G18:I18"/>
    <mergeCell ref="G13:I13"/>
    <mergeCell ref="G14:I14"/>
    <mergeCell ref="G15:I15"/>
    <mergeCell ref="G10:I10"/>
    <mergeCell ref="G11:I11"/>
    <mergeCell ref="G12:I12"/>
    <mergeCell ref="G25:I25"/>
    <mergeCell ref="G26:I26"/>
    <mergeCell ref="G27:I27"/>
    <mergeCell ref="G22:I22"/>
    <mergeCell ref="G23:I23"/>
    <mergeCell ref="G24:I24"/>
    <mergeCell ref="G19:I19"/>
    <mergeCell ref="G20:I20"/>
    <mergeCell ref="G21:I21"/>
    <mergeCell ref="G34:I34"/>
    <mergeCell ref="G35:I35"/>
    <mergeCell ref="G36:I36"/>
    <mergeCell ref="G31:I31"/>
    <mergeCell ref="G32:I32"/>
    <mergeCell ref="G33:I33"/>
    <mergeCell ref="G28:I28"/>
    <mergeCell ref="G29:I29"/>
    <mergeCell ref="G30:I30"/>
    <mergeCell ref="G43:I43"/>
    <mergeCell ref="G44:I44"/>
    <mergeCell ref="G45:I45"/>
    <mergeCell ref="G40:I40"/>
    <mergeCell ref="G41:I41"/>
    <mergeCell ref="G42:I42"/>
    <mergeCell ref="G37:I37"/>
    <mergeCell ref="G38:I38"/>
    <mergeCell ref="G39:I39"/>
    <mergeCell ref="G52:I52"/>
    <mergeCell ref="G53:I53"/>
    <mergeCell ref="G54:I54"/>
    <mergeCell ref="G50:I50"/>
    <mergeCell ref="G51:I51"/>
    <mergeCell ref="G48:I48"/>
    <mergeCell ref="G49:I49"/>
    <mergeCell ref="G46:I46"/>
    <mergeCell ref="G47:I47"/>
    <mergeCell ref="G61:I61"/>
    <mergeCell ref="G62:I62"/>
    <mergeCell ref="G63:I63"/>
    <mergeCell ref="G58:I58"/>
    <mergeCell ref="G59:I59"/>
    <mergeCell ref="G60:I60"/>
    <mergeCell ref="G55:I55"/>
    <mergeCell ref="G56:I56"/>
    <mergeCell ref="G57:I57"/>
    <mergeCell ref="G70:I70"/>
    <mergeCell ref="G71:I71"/>
    <mergeCell ref="G72:I72"/>
    <mergeCell ref="G67:I67"/>
    <mergeCell ref="G68:I68"/>
    <mergeCell ref="G69:I69"/>
    <mergeCell ref="G64:I64"/>
    <mergeCell ref="G65:I65"/>
    <mergeCell ref="G66:I66"/>
    <mergeCell ref="G82:I82"/>
    <mergeCell ref="G83:I83"/>
    <mergeCell ref="G79:I79"/>
    <mergeCell ref="G80:I80"/>
    <mergeCell ref="G81:I81"/>
    <mergeCell ref="G76:I76"/>
    <mergeCell ref="G77:I77"/>
    <mergeCell ref="G78:I78"/>
    <mergeCell ref="G73:I73"/>
    <mergeCell ref="G74:I74"/>
    <mergeCell ref="G75:I75"/>
    <mergeCell ref="G90:I90"/>
    <mergeCell ref="G91:I91"/>
    <mergeCell ref="G92:I92"/>
    <mergeCell ref="G87:I87"/>
    <mergeCell ref="G88:I88"/>
    <mergeCell ref="G89:I89"/>
    <mergeCell ref="G84:I84"/>
    <mergeCell ref="G85:I85"/>
    <mergeCell ref="G86:I86"/>
    <mergeCell ref="G99:I99"/>
    <mergeCell ref="G100:I100"/>
    <mergeCell ref="G101:I101"/>
    <mergeCell ref="G96:I96"/>
    <mergeCell ref="G97:I97"/>
    <mergeCell ref="G98:I98"/>
    <mergeCell ref="G93:I93"/>
    <mergeCell ref="G94:I94"/>
    <mergeCell ref="G95:I95"/>
    <mergeCell ref="G108:I108"/>
    <mergeCell ref="G109:I109"/>
    <mergeCell ref="G110:I110"/>
    <mergeCell ref="G105:I105"/>
    <mergeCell ref="G106:I106"/>
    <mergeCell ref="G107:I107"/>
    <mergeCell ref="G102:I102"/>
    <mergeCell ref="G103:I103"/>
    <mergeCell ref="G104:I104"/>
    <mergeCell ref="G117:I117"/>
    <mergeCell ref="G118:I118"/>
    <mergeCell ref="G119:I119"/>
    <mergeCell ref="G114:I114"/>
    <mergeCell ref="G115:I115"/>
    <mergeCell ref="G116:I116"/>
    <mergeCell ref="G111:I111"/>
    <mergeCell ref="G112:I112"/>
    <mergeCell ref="G113:I113"/>
    <mergeCell ref="G126:I126"/>
    <mergeCell ref="G127:I127"/>
    <mergeCell ref="G128:I128"/>
    <mergeCell ref="G123:I123"/>
    <mergeCell ref="G124:I124"/>
    <mergeCell ref="G125:I125"/>
    <mergeCell ref="G120:I120"/>
    <mergeCell ref="G121:I121"/>
    <mergeCell ref="G122:I122"/>
    <mergeCell ref="G135:I135"/>
    <mergeCell ref="G136:I136"/>
    <mergeCell ref="G137:I137"/>
    <mergeCell ref="G132:I132"/>
    <mergeCell ref="G133:I133"/>
    <mergeCell ref="G134:I134"/>
    <mergeCell ref="G129:I129"/>
    <mergeCell ref="G130:I130"/>
    <mergeCell ref="G131:I131"/>
    <mergeCell ref="G144:I144"/>
    <mergeCell ref="G145:I145"/>
    <mergeCell ref="G146:I146"/>
    <mergeCell ref="G141:I141"/>
    <mergeCell ref="G142:I142"/>
    <mergeCell ref="G143:I143"/>
    <mergeCell ref="G138:I138"/>
    <mergeCell ref="G139:I139"/>
    <mergeCell ref="G140:I140"/>
    <mergeCell ref="G153:I153"/>
    <mergeCell ref="G154:I154"/>
    <mergeCell ref="G155:I155"/>
    <mergeCell ref="G150:I150"/>
    <mergeCell ref="G151:I151"/>
    <mergeCell ref="G152:I152"/>
    <mergeCell ref="G147:I147"/>
    <mergeCell ref="G148:I148"/>
    <mergeCell ref="G149:I149"/>
    <mergeCell ref="G162:I162"/>
    <mergeCell ref="G163:I163"/>
    <mergeCell ref="G164:I164"/>
    <mergeCell ref="G159:I159"/>
    <mergeCell ref="G160:I160"/>
    <mergeCell ref="G161:I161"/>
    <mergeCell ref="G156:I156"/>
    <mergeCell ref="G157:I157"/>
    <mergeCell ref="G158:I158"/>
    <mergeCell ref="G171:I171"/>
    <mergeCell ref="G172:I172"/>
    <mergeCell ref="G173:I173"/>
    <mergeCell ref="G168:I168"/>
    <mergeCell ref="G169:I169"/>
    <mergeCell ref="G170:I170"/>
    <mergeCell ref="G165:I165"/>
    <mergeCell ref="G166:I166"/>
    <mergeCell ref="G167:I167"/>
    <mergeCell ref="G180:I180"/>
    <mergeCell ref="G181:I181"/>
    <mergeCell ref="G182:I182"/>
    <mergeCell ref="G177:I177"/>
    <mergeCell ref="G178:I178"/>
    <mergeCell ref="G179:I179"/>
    <mergeCell ref="G174:I174"/>
    <mergeCell ref="G175:I175"/>
    <mergeCell ref="G176:I176"/>
    <mergeCell ref="G194:I194"/>
    <mergeCell ref="G189:I189"/>
    <mergeCell ref="G190:I190"/>
    <mergeCell ref="G191:I191"/>
    <mergeCell ref="G186:I186"/>
    <mergeCell ref="G187:I187"/>
    <mergeCell ref="G188:I188"/>
    <mergeCell ref="G183:I183"/>
    <mergeCell ref="G184:I184"/>
    <mergeCell ref="G185:I185"/>
    <mergeCell ref="C77:F77"/>
    <mergeCell ref="D83:F83"/>
    <mergeCell ref="C90:F90"/>
    <mergeCell ref="C105:F105"/>
    <mergeCell ref="C118:F118"/>
    <mergeCell ref="D133:F133"/>
    <mergeCell ref="G210:I210"/>
    <mergeCell ref="G207:I207"/>
    <mergeCell ref="G208:I208"/>
    <mergeCell ref="G209:I209"/>
    <mergeCell ref="G204:I204"/>
    <mergeCell ref="G205:I205"/>
    <mergeCell ref="G206:I206"/>
    <mergeCell ref="G201:I201"/>
    <mergeCell ref="G202:I202"/>
    <mergeCell ref="G203:I203"/>
    <mergeCell ref="G198:I198"/>
    <mergeCell ref="G199:I199"/>
    <mergeCell ref="G200:I200"/>
    <mergeCell ref="G195:I195"/>
    <mergeCell ref="G196:I196"/>
    <mergeCell ref="G197:I197"/>
    <mergeCell ref="G192:I192"/>
    <mergeCell ref="G193:I1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46"/>
  <sheetViews>
    <sheetView tabSelected="1" topLeftCell="A121" zoomScale="85" zoomScaleNormal="85" workbookViewId="0">
      <selection activeCell="F244" sqref="F244:F245"/>
    </sheetView>
  </sheetViews>
  <sheetFormatPr defaultColWidth="11.42578125" defaultRowHeight="14.45"/>
  <cols>
    <col min="1" max="1" width="16.140625" style="435" customWidth="1"/>
    <col min="2" max="2" width="59.85546875" style="435" customWidth="1"/>
    <col min="3" max="3" width="9.7109375" style="470" customWidth="1"/>
    <col min="4" max="4" width="11.7109375" style="502" bestFit="1" customWidth="1"/>
    <col min="5" max="5" width="15.140625" style="506" bestFit="1" customWidth="1"/>
    <col min="6" max="6" width="19.7109375" style="506" bestFit="1" customWidth="1"/>
  </cols>
  <sheetData>
    <row r="2" spans="1:9" ht="28.5" customHeight="1">
      <c r="A2" s="577" t="s">
        <v>1159</v>
      </c>
      <c r="B2" s="578"/>
      <c r="C2" s="578"/>
      <c r="D2" s="578"/>
      <c r="E2" s="578"/>
      <c r="F2" s="578"/>
    </row>
    <row r="3" spans="1:9">
      <c r="A3" s="390"/>
    </row>
    <row r="4" spans="1:9">
      <c r="A4" s="498" t="s">
        <v>1160</v>
      </c>
      <c r="B4" s="498"/>
      <c r="C4" s="499"/>
      <c r="D4" s="500"/>
      <c r="E4" s="501"/>
      <c r="F4" s="501"/>
    </row>
    <row r="5" spans="1:9">
      <c r="A5" s="393"/>
      <c r="B5" s="395"/>
      <c r="C5" s="418"/>
      <c r="D5" s="396"/>
      <c r="E5" s="507"/>
      <c r="F5" s="507"/>
    </row>
    <row r="6" spans="1:9">
      <c r="A6" s="438" t="s">
        <v>0</v>
      </c>
      <c r="B6" s="439" t="s">
        <v>2</v>
      </c>
      <c r="C6" s="438" t="s">
        <v>3</v>
      </c>
      <c r="D6" s="441" t="s">
        <v>839</v>
      </c>
      <c r="E6" s="441" t="s">
        <v>1161</v>
      </c>
      <c r="F6" s="441" t="s">
        <v>1162</v>
      </c>
      <c r="G6" s="368"/>
      <c r="H6" s="368"/>
      <c r="I6" s="368"/>
    </row>
    <row r="7" spans="1:9">
      <c r="A7" s="442" t="s">
        <v>715</v>
      </c>
      <c r="B7" s="443" t="s">
        <v>716</v>
      </c>
      <c r="C7" s="442"/>
      <c r="D7" s="472"/>
      <c r="E7" s="445"/>
      <c r="F7" s="445" t="s">
        <v>28</v>
      </c>
    </row>
    <row r="8" spans="1:9">
      <c r="A8" s="398" t="s">
        <v>717</v>
      </c>
      <c r="B8" s="399" t="s">
        <v>720</v>
      </c>
      <c r="C8" s="398" t="s">
        <v>123</v>
      </c>
      <c r="D8" s="400">
        <v>1</v>
      </c>
      <c r="E8" s="446"/>
      <c r="F8" s="446">
        <f>+E8*D8</f>
        <v>0</v>
      </c>
    </row>
    <row r="9" spans="1:9" ht="27.6">
      <c r="A9" s="398" t="s">
        <v>745</v>
      </c>
      <c r="B9" s="401" t="s">
        <v>740</v>
      </c>
      <c r="C9" s="398" t="s">
        <v>852</v>
      </c>
      <c r="D9" s="400">
        <v>99.12</v>
      </c>
      <c r="E9" s="446"/>
      <c r="F9" s="446">
        <f t="shared" ref="F9:F71" si="0">+E9*D9</f>
        <v>0</v>
      </c>
    </row>
    <row r="10" spans="1:9" ht="15">
      <c r="A10" s="398" t="s">
        <v>752</v>
      </c>
      <c r="B10" s="401" t="s">
        <v>739</v>
      </c>
      <c r="C10" s="398" t="s">
        <v>852</v>
      </c>
      <c r="D10" s="400">
        <v>10.8</v>
      </c>
      <c r="E10" s="446"/>
      <c r="F10" s="446">
        <f t="shared" si="0"/>
        <v>0</v>
      </c>
    </row>
    <row r="11" spans="1:9">
      <c r="A11" s="398" t="s">
        <v>749</v>
      </c>
      <c r="B11" s="399" t="s">
        <v>854</v>
      </c>
      <c r="C11" s="398" t="s">
        <v>346</v>
      </c>
      <c r="D11" s="400">
        <v>3</v>
      </c>
      <c r="E11" s="446"/>
      <c r="F11" s="446">
        <f t="shared" si="0"/>
        <v>0</v>
      </c>
    </row>
    <row r="12" spans="1:9">
      <c r="A12" s="398" t="s">
        <v>724</v>
      </c>
      <c r="B12" s="399" t="s">
        <v>855</v>
      </c>
      <c r="C12" s="398" t="s">
        <v>346</v>
      </c>
      <c r="D12" s="400">
        <v>2</v>
      </c>
      <c r="E12" s="446"/>
      <c r="F12" s="446">
        <f t="shared" si="0"/>
        <v>0</v>
      </c>
    </row>
    <row r="13" spans="1:9">
      <c r="A13" s="398" t="s">
        <v>727</v>
      </c>
      <c r="B13" s="401" t="s">
        <v>856</v>
      </c>
      <c r="C13" s="398" t="s">
        <v>123</v>
      </c>
      <c r="D13" s="400">
        <v>1</v>
      </c>
      <c r="E13" s="446"/>
      <c r="F13" s="446">
        <f t="shared" si="0"/>
        <v>0</v>
      </c>
    </row>
    <row r="14" spans="1:9" ht="27.6">
      <c r="A14" s="398" t="s">
        <v>729</v>
      </c>
      <c r="B14" s="401" t="s">
        <v>746</v>
      </c>
      <c r="C14" s="398" t="s">
        <v>67</v>
      </c>
      <c r="D14" s="400">
        <v>2.95</v>
      </c>
      <c r="E14" s="446"/>
      <c r="F14" s="446">
        <f t="shared" si="0"/>
        <v>0</v>
      </c>
    </row>
    <row r="15" spans="1:9" ht="15">
      <c r="A15" s="398" t="s">
        <v>732</v>
      </c>
      <c r="B15" s="401" t="s">
        <v>753</v>
      </c>
      <c r="C15" s="398" t="s">
        <v>852</v>
      </c>
      <c r="D15" s="400">
        <v>439.15</v>
      </c>
      <c r="E15" s="446"/>
      <c r="F15" s="446">
        <f t="shared" si="0"/>
        <v>0</v>
      </c>
    </row>
    <row r="16" spans="1:9" ht="15">
      <c r="A16" s="398" t="s">
        <v>735</v>
      </c>
      <c r="B16" s="401" t="s">
        <v>750</v>
      </c>
      <c r="C16" s="398" t="s">
        <v>852</v>
      </c>
      <c r="D16" s="400">
        <v>276.94</v>
      </c>
      <c r="E16" s="446"/>
      <c r="F16" s="446">
        <f t="shared" si="0"/>
        <v>0</v>
      </c>
    </row>
    <row r="17" spans="1:6">
      <c r="A17" s="442" t="s">
        <v>1163</v>
      </c>
      <c r="B17" s="443" t="s">
        <v>1164</v>
      </c>
      <c r="C17" s="442"/>
      <c r="D17" s="472"/>
      <c r="E17" s="445"/>
      <c r="F17" s="445"/>
    </row>
    <row r="18" spans="1:6" ht="15">
      <c r="A18" s="398" t="s">
        <v>1165</v>
      </c>
      <c r="B18" s="401" t="s">
        <v>265</v>
      </c>
      <c r="C18" s="398" t="s">
        <v>864</v>
      </c>
      <c r="D18" s="400">
        <v>0.12</v>
      </c>
      <c r="E18" s="446"/>
      <c r="F18" s="446">
        <f t="shared" si="0"/>
        <v>0</v>
      </c>
    </row>
    <row r="19" spans="1:6" ht="15">
      <c r="A19" s="398" t="s">
        <v>1166</v>
      </c>
      <c r="B19" s="401" t="s">
        <v>245</v>
      </c>
      <c r="C19" s="398" t="s">
        <v>864</v>
      </c>
      <c r="D19" s="400">
        <v>0.49</v>
      </c>
      <c r="E19" s="446"/>
      <c r="F19" s="446">
        <f t="shared" si="0"/>
        <v>0</v>
      </c>
    </row>
    <row r="20" spans="1:6" ht="27.6">
      <c r="A20" s="398" t="s">
        <v>1167</v>
      </c>
      <c r="B20" s="401" t="s">
        <v>248</v>
      </c>
      <c r="C20" s="398" t="s">
        <v>864</v>
      </c>
      <c r="D20" s="400">
        <v>1.2</v>
      </c>
      <c r="E20" s="446"/>
      <c r="F20" s="446">
        <f t="shared" si="0"/>
        <v>0</v>
      </c>
    </row>
    <row r="21" spans="1:6">
      <c r="A21" s="442" t="s">
        <v>1168</v>
      </c>
      <c r="B21" s="443" t="s">
        <v>1169</v>
      </c>
      <c r="C21" s="442"/>
      <c r="D21" s="472"/>
      <c r="E21" s="445"/>
      <c r="F21" s="445"/>
    </row>
    <row r="22" spans="1:6" ht="15">
      <c r="A22" s="398" t="s">
        <v>383</v>
      </c>
      <c r="B22" s="399" t="s">
        <v>1170</v>
      </c>
      <c r="C22" s="398" t="s">
        <v>852</v>
      </c>
      <c r="D22" s="400">
        <v>120.87</v>
      </c>
      <c r="E22" s="446"/>
      <c r="F22" s="446">
        <f t="shared" si="0"/>
        <v>0</v>
      </c>
    </row>
    <row r="23" spans="1:6" ht="27.6">
      <c r="A23" s="398" t="s">
        <v>869</v>
      </c>
      <c r="B23" s="401" t="s">
        <v>870</v>
      </c>
      <c r="C23" s="398" t="s">
        <v>852</v>
      </c>
      <c r="D23" s="400">
        <v>6.6</v>
      </c>
      <c r="E23" s="446"/>
      <c r="F23" s="446">
        <f t="shared" si="0"/>
        <v>0</v>
      </c>
    </row>
    <row r="24" spans="1:6">
      <c r="A24" s="442" t="s">
        <v>110</v>
      </c>
      <c r="B24" s="443" t="s">
        <v>111</v>
      </c>
      <c r="C24" s="442"/>
      <c r="D24" s="472"/>
      <c r="E24" s="445"/>
      <c r="F24" s="445"/>
    </row>
    <row r="25" spans="1:6" ht="27.6">
      <c r="A25" s="398" t="s">
        <v>112</v>
      </c>
      <c r="B25" s="401" t="s">
        <v>113</v>
      </c>
      <c r="C25" s="398" t="s">
        <v>852</v>
      </c>
      <c r="D25" s="400">
        <v>447.33</v>
      </c>
      <c r="E25" s="446"/>
      <c r="F25" s="446">
        <f t="shared" si="0"/>
        <v>0</v>
      </c>
    </row>
    <row r="26" spans="1:6">
      <c r="A26" s="442" t="s">
        <v>633</v>
      </c>
      <c r="B26" s="443" t="s">
        <v>635</v>
      </c>
      <c r="C26" s="442"/>
      <c r="D26" s="472"/>
      <c r="E26" s="445"/>
      <c r="F26" s="445"/>
    </row>
    <row r="27" spans="1:6">
      <c r="A27" s="442" t="s">
        <v>1106</v>
      </c>
      <c r="B27" s="443" t="s">
        <v>641</v>
      </c>
      <c r="C27" s="442"/>
      <c r="D27" s="472"/>
      <c r="E27" s="445"/>
      <c r="F27" s="445"/>
    </row>
    <row r="28" spans="1:6" ht="27.6">
      <c r="A28" s="398" t="s">
        <v>643</v>
      </c>
      <c r="B28" s="401" t="s">
        <v>658</v>
      </c>
      <c r="C28" s="398" t="s">
        <v>852</v>
      </c>
      <c r="D28" s="400">
        <v>231.03</v>
      </c>
      <c r="E28" s="446"/>
      <c r="F28" s="446">
        <f t="shared" si="0"/>
        <v>0</v>
      </c>
    </row>
    <row r="29" spans="1:6" ht="15">
      <c r="A29" s="398" t="s">
        <v>646</v>
      </c>
      <c r="B29" s="399" t="s">
        <v>649</v>
      </c>
      <c r="C29" s="398" t="s">
        <v>852</v>
      </c>
      <c r="D29" s="400">
        <v>9.9499999999999993</v>
      </c>
      <c r="E29" s="446"/>
      <c r="F29" s="446">
        <f t="shared" si="0"/>
        <v>0</v>
      </c>
    </row>
    <row r="30" spans="1:6" ht="27.6">
      <c r="A30" s="398" t="s">
        <v>657</v>
      </c>
      <c r="B30" s="401" t="s">
        <v>661</v>
      </c>
      <c r="C30" s="398" t="s">
        <v>852</v>
      </c>
      <c r="D30" s="400">
        <v>13.2</v>
      </c>
      <c r="E30" s="446"/>
      <c r="F30" s="446">
        <f t="shared" si="0"/>
        <v>0</v>
      </c>
    </row>
    <row r="31" spans="1:6">
      <c r="A31" s="442" t="s">
        <v>874</v>
      </c>
      <c r="B31" s="443" t="s">
        <v>666</v>
      </c>
      <c r="C31" s="442"/>
      <c r="D31" s="472"/>
      <c r="E31" s="445"/>
      <c r="F31" s="445"/>
    </row>
    <row r="32" spans="1:6" ht="15">
      <c r="A32" s="398" t="s">
        <v>674</v>
      </c>
      <c r="B32" s="399" t="s">
        <v>675</v>
      </c>
      <c r="C32" s="398" t="s">
        <v>852</v>
      </c>
      <c r="D32" s="400">
        <v>7.67</v>
      </c>
      <c r="E32" s="446"/>
      <c r="F32" s="446">
        <f t="shared" si="0"/>
        <v>0</v>
      </c>
    </row>
    <row r="33" spans="1:6">
      <c r="A33" s="398" t="s">
        <v>677</v>
      </c>
      <c r="B33" s="399" t="s">
        <v>678</v>
      </c>
      <c r="C33" s="398" t="s">
        <v>123</v>
      </c>
      <c r="D33" s="400">
        <v>1</v>
      </c>
      <c r="E33" s="446"/>
      <c r="F33" s="446">
        <f t="shared" si="0"/>
        <v>0</v>
      </c>
    </row>
    <row r="34" spans="1:6" ht="15">
      <c r="A34" s="398" t="s">
        <v>680</v>
      </c>
      <c r="B34" s="399" t="s">
        <v>681</v>
      </c>
      <c r="C34" s="398" t="s">
        <v>852</v>
      </c>
      <c r="D34" s="400">
        <v>4.2</v>
      </c>
      <c r="E34" s="446"/>
      <c r="F34" s="446">
        <f t="shared" si="0"/>
        <v>0</v>
      </c>
    </row>
    <row r="35" spans="1:6">
      <c r="A35" s="442" t="s">
        <v>253</v>
      </c>
      <c r="B35" s="443" t="s">
        <v>255</v>
      </c>
      <c r="C35" s="442"/>
      <c r="D35" s="472"/>
      <c r="E35" s="445"/>
      <c r="F35" s="445"/>
    </row>
    <row r="36" spans="1:6" ht="27.6">
      <c r="A36" s="398" t="s">
        <v>257</v>
      </c>
      <c r="B36" s="401" t="s">
        <v>259</v>
      </c>
      <c r="C36" s="398" t="s">
        <v>852</v>
      </c>
      <c r="D36" s="400">
        <v>323.27</v>
      </c>
      <c r="E36" s="446"/>
      <c r="F36" s="446">
        <f t="shared" si="0"/>
        <v>0</v>
      </c>
    </row>
    <row r="37" spans="1:6">
      <c r="A37" s="442" t="s">
        <v>329</v>
      </c>
      <c r="B37" s="443" t="s">
        <v>330</v>
      </c>
      <c r="C37" s="442"/>
      <c r="D37" s="472"/>
      <c r="E37" s="445"/>
      <c r="F37" s="445"/>
    </row>
    <row r="38" spans="1:6">
      <c r="A38" s="442" t="s">
        <v>892</v>
      </c>
      <c r="B38" s="443" t="s">
        <v>359</v>
      </c>
      <c r="C38" s="442"/>
      <c r="D38" s="472"/>
      <c r="E38" s="445"/>
      <c r="F38" s="445"/>
    </row>
    <row r="39" spans="1:6">
      <c r="A39" s="398" t="s">
        <v>893</v>
      </c>
      <c r="B39" s="401" t="s">
        <v>362</v>
      </c>
      <c r="C39" s="398" t="s">
        <v>346</v>
      </c>
      <c r="D39" s="400">
        <v>3</v>
      </c>
      <c r="E39" s="446"/>
      <c r="F39" s="446">
        <f t="shared" si="0"/>
        <v>0</v>
      </c>
    </row>
    <row r="40" spans="1:6">
      <c r="A40" s="398" t="s">
        <v>897</v>
      </c>
      <c r="B40" s="401" t="s">
        <v>1171</v>
      </c>
      <c r="C40" s="398" t="s">
        <v>346</v>
      </c>
      <c r="D40" s="400">
        <v>2</v>
      </c>
      <c r="E40" s="446"/>
      <c r="F40" s="446">
        <f t="shared" si="0"/>
        <v>0</v>
      </c>
    </row>
    <row r="41" spans="1:6">
      <c r="A41" s="442" t="s">
        <v>1172</v>
      </c>
      <c r="B41" s="443" t="s">
        <v>336</v>
      </c>
      <c r="C41" s="442"/>
      <c r="D41" s="472"/>
      <c r="E41" s="445"/>
      <c r="F41" s="445"/>
    </row>
    <row r="42" spans="1:6" ht="27.6">
      <c r="A42" s="398" t="s">
        <v>344</v>
      </c>
      <c r="B42" s="401" t="s">
        <v>345</v>
      </c>
      <c r="C42" s="398" t="s">
        <v>346</v>
      </c>
      <c r="D42" s="400">
        <v>4</v>
      </c>
      <c r="E42" s="446"/>
      <c r="F42" s="446">
        <f t="shared" si="0"/>
        <v>0</v>
      </c>
    </row>
    <row r="43" spans="1:6" ht="27.6">
      <c r="A43" s="398" t="s">
        <v>348</v>
      </c>
      <c r="B43" s="401" t="s">
        <v>349</v>
      </c>
      <c r="C43" s="398" t="s">
        <v>346</v>
      </c>
      <c r="D43" s="400">
        <v>1</v>
      </c>
      <c r="E43" s="446"/>
      <c r="F43" s="446">
        <f t="shared" si="0"/>
        <v>0</v>
      </c>
    </row>
    <row r="44" spans="1:6" ht="27.6">
      <c r="A44" s="398" t="s">
        <v>351</v>
      </c>
      <c r="B44" s="401" t="s">
        <v>354</v>
      </c>
      <c r="C44" s="398" t="s">
        <v>123</v>
      </c>
      <c r="D44" s="400">
        <v>1</v>
      </c>
      <c r="E44" s="446"/>
      <c r="F44" s="446">
        <f t="shared" si="0"/>
        <v>0</v>
      </c>
    </row>
    <row r="45" spans="1:6">
      <c r="A45" s="442" t="s">
        <v>403</v>
      </c>
      <c r="B45" s="443" t="s">
        <v>404</v>
      </c>
      <c r="C45" s="442"/>
      <c r="D45" s="472"/>
      <c r="E45" s="445"/>
      <c r="F45" s="445"/>
    </row>
    <row r="46" spans="1:6" ht="15">
      <c r="A46" s="403" t="s">
        <v>908</v>
      </c>
      <c r="B46" s="399" t="s">
        <v>412</v>
      </c>
      <c r="C46" s="398" t="s">
        <v>852</v>
      </c>
      <c r="D46" s="400">
        <v>231.03</v>
      </c>
      <c r="E46" s="446"/>
      <c r="F46" s="446">
        <f t="shared" si="0"/>
        <v>0</v>
      </c>
    </row>
    <row r="47" spans="1:6" ht="15">
      <c r="A47" s="403" t="s">
        <v>908</v>
      </c>
      <c r="B47" s="399" t="s">
        <v>413</v>
      </c>
      <c r="C47" s="398" t="s">
        <v>852</v>
      </c>
      <c r="D47" s="400">
        <v>623.5</v>
      </c>
      <c r="E47" s="446"/>
      <c r="F47" s="446">
        <f t="shared" si="0"/>
        <v>0</v>
      </c>
    </row>
    <row r="48" spans="1:6" ht="15">
      <c r="A48" s="403" t="s">
        <v>910</v>
      </c>
      <c r="B48" s="401" t="s">
        <v>1173</v>
      </c>
      <c r="C48" s="398" t="s">
        <v>852</v>
      </c>
      <c r="D48" s="400">
        <v>46.42</v>
      </c>
      <c r="E48" s="446"/>
      <c r="F48" s="446">
        <f t="shared" si="0"/>
        <v>0</v>
      </c>
    </row>
    <row r="49" spans="1:9" ht="15">
      <c r="A49" s="403" t="s">
        <v>912</v>
      </c>
      <c r="B49" s="401" t="s">
        <v>425</v>
      </c>
      <c r="C49" s="398" t="s">
        <v>852</v>
      </c>
      <c r="D49" s="400">
        <v>200.7</v>
      </c>
      <c r="E49" s="446"/>
      <c r="F49" s="446">
        <f t="shared" si="0"/>
        <v>0</v>
      </c>
      <c r="G49" s="368"/>
      <c r="H49" s="368"/>
      <c r="I49" s="368"/>
    </row>
    <row r="50" spans="1:9">
      <c r="A50" s="503"/>
      <c r="B50" s="504"/>
      <c r="C50" s="418"/>
      <c r="D50" s="396"/>
      <c r="E50" s="507"/>
      <c r="F50" s="508"/>
      <c r="G50" s="368"/>
      <c r="H50" s="368"/>
      <c r="I50" s="368"/>
    </row>
    <row r="51" spans="1:9" ht="15.6">
      <c r="A51" s="442" t="s">
        <v>1174</v>
      </c>
      <c r="B51" s="443" t="s">
        <v>130</v>
      </c>
      <c r="C51" s="442"/>
      <c r="D51" s="472"/>
      <c r="E51" s="445"/>
      <c r="F51" s="445"/>
      <c r="G51" s="383"/>
    </row>
    <row r="52" spans="1:9">
      <c r="A52" s="442" t="s">
        <v>931</v>
      </c>
      <c r="B52" s="443" t="s">
        <v>206</v>
      </c>
      <c r="C52" s="442"/>
      <c r="D52" s="472"/>
      <c r="E52" s="445"/>
      <c r="F52" s="445"/>
    </row>
    <row r="53" spans="1:9">
      <c r="A53" s="442" t="s">
        <v>932</v>
      </c>
      <c r="B53" s="443" t="s">
        <v>208</v>
      </c>
      <c r="C53" s="442"/>
      <c r="D53" s="472"/>
      <c r="E53" s="445"/>
      <c r="F53" s="445"/>
    </row>
    <row r="54" spans="1:9">
      <c r="A54" s="406" t="s">
        <v>207</v>
      </c>
      <c r="B54" s="399" t="s">
        <v>217</v>
      </c>
      <c r="C54" s="398" t="s">
        <v>147</v>
      </c>
      <c r="D54" s="400">
        <v>1</v>
      </c>
      <c r="E54" s="446"/>
      <c r="F54" s="446">
        <f t="shared" si="0"/>
        <v>0</v>
      </c>
    </row>
    <row r="55" spans="1:9">
      <c r="A55" s="406" t="s">
        <v>210</v>
      </c>
      <c r="B55" s="399" t="s">
        <v>211</v>
      </c>
      <c r="C55" s="398" t="s">
        <v>147</v>
      </c>
      <c r="D55" s="400">
        <v>5</v>
      </c>
      <c r="E55" s="446"/>
      <c r="F55" s="446">
        <f t="shared" si="0"/>
        <v>0</v>
      </c>
    </row>
    <row r="56" spans="1:9">
      <c r="A56" s="442" t="s">
        <v>933</v>
      </c>
      <c r="B56" s="443" t="s">
        <v>219</v>
      </c>
      <c r="C56" s="442"/>
      <c r="D56" s="472"/>
      <c r="E56" s="445"/>
      <c r="F56" s="445"/>
    </row>
    <row r="57" spans="1:9">
      <c r="A57" s="406" t="s">
        <v>934</v>
      </c>
      <c r="B57" s="399" t="s">
        <v>225</v>
      </c>
      <c r="C57" s="398" t="s">
        <v>224</v>
      </c>
      <c r="D57" s="400">
        <v>4</v>
      </c>
      <c r="E57" s="446"/>
      <c r="F57" s="446">
        <f t="shared" si="0"/>
        <v>0</v>
      </c>
    </row>
    <row r="58" spans="1:9">
      <c r="A58" s="406" t="s">
        <v>935</v>
      </c>
      <c r="B58" s="399" t="s">
        <v>236</v>
      </c>
      <c r="C58" s="398" t="s">
        <v>67</v>
      </c>
      <c r="D58" s="400">
        <v>10</v>
      </c>
      <c r="E58" s="446"/>
      <c r="F58" s="446">
        <f t="shared" si="0"/>
        <v>0</v>
      </c>
    </row>
    <row r="59" spans="1:9">
      <c r="A59" s="406" t="s">
        <v>937</v>
      </c>
      <c r="B59" s="399" t="s">
        <v>126</v>
      </c>
      <c r="C59" s="398" t="s">
        <v>67</v>
      </c>
      <c r="D59" s="400">
        <v>400</v>
      </c>
      <c r="E59" s="446"/>
      <c r="F59" s="446">
        <f t="shared" si="0"/>
        <v>0</v>
      </c>
    </row>
    <row r="60" spans="1:9">
      <c r="A60" s="406" t="s">
        <v>938</v>
      </c>
      <c r="B60" s="399" t="s">
        <v>122</v>
      </c>
      <c r="C60" s="398" t="s">
        <v>123</v>
      </c>
      <c r="D60" s="400">
        <v>1</v>
      </c>
      <c r="E60" s="446"/>
      <c r="F60" s="446">
        <f t="shared" si="0"/>
        <v>0</v>
      </c>
    </row>
    <row r="61" spans="1:9">
      <c r="A61" s="442" t="s">
        <v>939</v>
      </c>
      <c r="B61" s="443" t="s">
        <v>152</v>
      </c>
      <c r="C61" s="442"/>
      <c r="D61" s="472"/>
      <c r="E61" s="445"/>
      <c r="F61" s="445"/>
    </row>
    <row r="62" spans="1:9">
      <c r="A62" s="406" t="s">
        <v>153</v>
      </c>
      <c r="B62" s="399" t="s">
        <v>154</v>
      </c>
      <c r="C62" s="398" t="s">
        <v>155</v>
      </c>
      <c r="D62" s="400">
        <v>1</v>
      </c>
      <c r="E62" s="446"/>
      <c r="F62" s="446">
        <f t="shared" si="0"/>
        <v>0</v>
      </c>
    </row>
    <row r="63" spans="1:9">
      <c r="A63" s="442" t="s">
        <v>940</v>
      </c>
      <c r="B63" s="443" t="s">
        <v>144</v>
      </c>
      <c r="C63" s="442"/>
      <c r="D63" s="472"/>
      <c r="E63" s="445"/>
      <c r="F63" s="445"/>
    </row>
    <row r="64" spans="1:9">
      <c r="A64" s="406" t="s">
        <v>941</v>
      </c>
      <c r="B64" s="399" t="s">
        <v>150</v>
      </c>
      <c r="C64" s="398" t="s">
        <v>175</v>
      </c>
      <c r="D64" s="400">
        <v>50</v>
      </c>
      <c r="E64" s="446"/>
      <c r="F64" s="446">
        <f t="shared" si="0"/>
        <v>0</v>
      </c>
    </row>
    <row r="65" spans="1:6">
      <c r="A65" s="406" t="s">
        <v>942</v>
      </c>
      <c r="B65" s="399" t="s">
        <v>148</v>
      </c>
      <c r="C65" s="398" t="s">
        <v>175</v>
      </c>
      <c r="D65" s="400">
        <v>30</v>
      </c>
      <c r="E65" s="446"/>
      <c r="F65" s="446">
        <f t="shared" si="0"/>
        <v>0</v>
      </c>
    </row>
    <row r="66" spans="1:6">
      <c r="A66" s="442" t="s">
        <v>943</v>
      </c>
      <c r="B66" s="443" t="s">
        <v>162</v>
      </c>
      <c r="C66" s="442"/>
      <c r="D66" s="472"/>
      <c r="E66" s="445"/>
      <c r="F66" s="445"/>
    </row>
    <row r="67" spans="1:6" ht="27.6">
      <c r="A67" s="406" t="s">
        <v>944</v>
      </c>
      <c r="B67" s="401" t="s">
        <v>166</v>
      </c>
      <c r="C67" s="398" t="s">
        <v>175</v>
      </c>
      <c r="D67" s="400">
        <v>38</v>
      </c>
      <c r="E67" s="446"/>
      <c r="F67" s="446">
        <f t="shared" si="0"/>
        <v>0</v>
      </c>
    </row>
    <row r="68" spans="1:6">
      <c r="A68" s="442" t="s">
        <v>946</v>
      </c>
      <c r="B68" s="443" t="s">
        <v>171</v>
      </c>
      <c r="C68" s="442"/>
      <c r="D68" s="472"/>
      <c r="E68" s="445"/>
      <c r="F68" s="445"/>
    </row>
    <row r="69" spans="1:6">
      <c r="A69" s="406" t="s">
        <v>947</v>
      </c>
      <c r="B69" s="399" t="s">
        <v>200</v>
      </c>
      <c r="C69" s="398" t="s">
        <v>175</v>
      </c>
      <c r="D69" s="400">
        <v>1</v>
      </c>
      <c r="E69" s="446"/>
      <c r="F69" s="446">
        <f t="shared" si="0"/>
        <v>0</v>
      </c>
    </row>
    <row r="70" spans="1:6">
      <c r="A70" s="406" t="s">
        <v>948</v>
      </c>
      <c r="B70" s="399" t="s">
        <v>198</v>
      </c>
      <c r="C70" s="398" t="s">
        <v>175</v>
      </c>
      <c r="D70" s="400">
        <v>3</v>
      </c>
      <c r="E70" s="446"/>
      <c r="F70" s="446">
        <f t="shared" si="0"/>
        <v>0</v>
      </c>
    </row>
    <row r="71" spans="1:6">
      <c r="A71" s="406" t="s">
        <v>949</v>
      </c>
      <c r="B71" s="399" t="s">
        <v>202</v>
      </c>
      <c r="C71" s="398" t="s">
        <v>175</v>
      </c>
      <c r="D71" s="400">
        <v>3</v>
      </c>
      <c r="E71" s="446"/>
      <c r="F71" s="446">
        <f t="shared" si="0"/>
        <v>0</v>
      </c>
    </row>
    <row r="72" spans="1:6">
      <c r="A72" s="406" t="s">
        <v>950</v>
      </c>
      <c r="B72" s="399" t="s">
        <v>190</v>
      </c>
      <c r="C72" s="398" t="s">
        <v>175</v>
      </c>
      <c r="D72" s="400">
        <v>3</v>
      </c>
      <c r="E72" s="446"/>
      <c r="F72" s="446">
        <f t="shared" ref="F72:F80" si="1">+E72*D72</f>
        <v>0</v>
      </c>
    </row>
    <row r="73" spans="1:6">
      <c r="A73" s="406" t="s">
        <v>951</v>
      </c>
      <c r="B73" s="399" t="s">
        <v>188</v>
      </c>
      <c r="C73" s="398" t="s">
        <v>175</v>
      </c>
      <c r="D73" s="400">
        <v>6</v>
      </c>
      <c r="E73" s="446"/>
      <c r="F73" s="446">
        <f t="shared" si="1"/>
        <v>0</v>
      </c>
    </row>
    <row r="74" spans="1:6">
      <c r="A74" s="406" t="s">
        <v>952</v>
      </c>
      <c r="B74" s="399" t="s">
        <v>174</v>
      </c>
      <c r="C74" s="398" t="s">
        <v>175</v>
      </c>
      <c r="D74" s="400">
        <v>6</v>
      </c>
      <c r="E74" s="446"/>
      <c r="F74" s="446">
        <f t="shared" si="1"/>
        <v>0</v>
      </c>
    </row>
    <row r="75" spans="1:6">
      <c r="A75" s="406" t="s">
        <v>953</v>
      </c>
      <c r="B75" s="399" t="s">
        <v>180</v>
      </c>
      <c r="C75" s="398" t="s">
        <v>181</v>
      </c>
      <c r="D75" s="400">
        <v>1</v>
      </c>
      <c r="E75" s="446"/>
      <c r="F75" s="446">
        <f t="shared" si="1"/>
        <v>0</v>
      </c>
    </row>
    <row r="76" spans="1:6">
      <c r="A76" s="442" t="s">
        <v>963</v>
      </c>
      <c r="B76" s="443" t="s">
        <v>157</v>
      </c>
      <c r="C76" s="442"/>
      <c r="D76" s="472"/>
      <c r="E76" s="445"/>
      <c r="F76" s="445"/>
    </row>
    <row r="77" spans="1:6">
      <c r="A77" s="406" t="s">
        <v>964</v>
      </c>
      <c r="B77" s="399" t="s">
        <v>1175</v>
      </c>
      <c r="C77" s="398" t="s">
        <v>147</v>
      </c>
      <c r="D77" s="400">
        <v>1</v>
      </c>
      <c r="E77" s="446"/>
      <c r="F77" s="446">
        <f t="shared" si="1"/>
        <v>0</v>
      </c>
    </row>
    <row r="78" spans="1:6">
      <c r="A78" s="442" t="s">
        <v>433</v>
      </c>
      <c r="B78" s="443" t="s">
        <v>435</v>
      </c>
      <c r="C78" s="442"/>
      <c r="D78" s="472"/>
      <c r="E78" s="445"/>
      <c r="F78" s="445"/>
    </row>
    <row r="79" spans="1:6" ht="41.45">
      <c r="A79" s="398" t="s">
        <v>921</v>
      </c>
      <c r="B79" s="401" t="s">
        <v>438</v>
      </c>
      <c r="C79" s="398" t="s">
        <v>140</v>
      </c>
      <c r="D79" s="400">
        <v>1</v>
      </c>
      <c r="E79" s="446"/>
      <c r="F79" s="446">
        <f t="shared" si="1"/>
        <v>0</v>
      </c>
    </row>
    <row r="80" spans="1:6">
      <c r="A80" s="398" t="s">
        <v>922</v>
      </c>
      <c r="B80" s="399" t="s">
        <v>448</v>
      </c>
      <c r="C80" s="398" t="s">
        <v>346</v>
      </c>
      <c r="D80" s="400">
        <v>4</v>
      </c>
      <c r="E80" s="446"/>
      <c r="F80" s="446">
        <f t="shared" si="1"/>
        <v>0</v>
      </c>
    </row>
    <row r="81" spans="1:6">
      <c r="A81" s="558" t="s">
        <v>1149</v>
      </c>
      <c r="B81" s="512"/>
      <c r="C81" s="513"/>
      <c r="D81" s="514"/>
      <c r="E81" s="515"/>
      <c r="F81" s="516">
        <f>SUM(F8:F80)</f>
        <v>0</v>
      </c>
    </row>
    <row r="82" spans="1:6">
      <c r="A82" s="418"/>
      <c r="B82" s="423"/>
    </row>
    <row r="83" spans="1:6">
      <c r="A83" s="498" t="s">
        <v>1176</v>
      </c>
      <c r="B83" s="498"/>
      <c r="C83" s="499"/>
      <c r="D83" s="500"/>
      <c r="E83" s="501"/>
      <c r="F83" s="501"/>
    </row>
    <row r="85" spans="1:6">
      <c r="A85" s="438" t="s">
        <v>0</v>
      </c>
      <c r="B85" s="439" t="s">
        <v>2</v>
      </c>
      <c r="C85" s="438" t="s">
        <v>3</v>
      </c>
      <c r="D85" s="441" t="s">
        <v>839</v>
      </c>
      <c r="E85" s="441" t="s">
        <v>1177</v>
      </c>
      <c r="F85" s="441" t="s">
        <v>1178</v>
      </c>
    </row>
    <row r="86" spans="1:6">
      <c r="A86" s="442" t="s">
        <v>715</v>
      </c>
      <c r="B86" s="443" t="s">
        <v>716</v>
      </c>
      <c r="C86" s="442"/>
      <c r="D86" s="472"/>
      <c r="E86" s="445"/>
      <c r="F86" s="445" t="s">
        <v>1099</v>
      </c>
    </row>
    <row r="87" spans="1:6">
      <c r="A87" s="398" t="s">
        <v>717</v>
      </c>
      <c r="B87" s="399" t="s">
        <v>718</v>
      </c>
      <c r="C87" s="582" t="s">
        <v>719</v>
      </c>
      <c r="D87" s="582"/>
      <c r="E87" s="582"/>
      <c r="F87" s="582"/>
    </row>
    <row r="88" spans="1:6" ht="27.6">
      <c r="A88" s="398" t="s">
        <v>737</v>
      </c>
      <c r="B88" s="401" t="s">
        <v>738</v>
      </c>
      <c r="C88" s="398" t="s">
        <v>140</v>
      </c>
      <c r="D88" s="400">
        <v>1</v>
      </c>
      <c r="E88" s="446"/>
      <c r="F88" s="446">
        <f>+E88*D88</f>
        <v>0</v>
      </c>
    </row>
    <row r="89" spans="1:6">
      <c r="A89" s="398" t="s">
        <v>857</v>
      </c>
      <c r="B89" s="401" t="s">
        <v>728</v>
      </c>
      <c r="C89" s="398" t="s">
        <v>140</v>
      </c>
      <c r="D89" s="400">
        <v>1</v>
      </c>
      <c r="E89" s="446"/>
      <c r="F89" s="446">
        <f t="shared" ref="F89:F108" si="2">+E89*D89</f>
        <v>0</v>
      </c>
    </row>
    <row r="90" spans="1:6">
      <c r="A90" s="398" t="s">
        <v>747</v>
      </c>
      <c r="B90" s="401" t="s">
        <v>731</v>
      </c>
      <c r="C90" s="398" t="s">
        <v>140</v>
      </c>
      <c r="D90" s="400">
        <v>1</v>
      </c>
      <c r="E90" s="446"/>
      <c r="F90" s="446">
        <f t="shared" si="2"/>
        <v>0</v>
      </c>
    </row>
    <row r="91" spans="1:6">
      <c r="A91" s="398" t="s">
        <v>724</v>
      </c>
      <c r="B91" s="399" t="s">
        <v>855</v>
      </c>
      <c r="C91" s="398" t="s">
        <v>140</v>
      </c>
      <c r="D91" s="400">
        <v>1</v>
      </c>
      <c r="E91" s="446"/>
      <c r="F91" s="446">
        <f t="shared" si="2"/>
        <v>0</v>
      </c>
    </row>
    <row r="92" spans="1:6" ht="15">
      <c r="A92" s="398" t="s">
        <v>858</v>
      </c>
      <c r="B92" s="399" t="s">
        <v>754</v>
      </c>
      <c r="C92" s="398" t="s">
        <v>852</v>
      </c>
      <c r="D92" s="400">
        <v>103.8</v>
      </c>
      <c r="E92" s="446"/>
      <c r="F92" s="446">
        <f t="shared" si="2"/>
        <v>0</v>
      </c>
    </row>
    <row r="93" spans="1:6">
      <c r="A93" s="442" t="s">
        <v>329</v>
      </c>
      <c r="B93" s="443" t="s">
        <v>330</v>
      </c>
      <c r="C93" s="442"/>
      <c r="D93" s="472"/>
      <c r="E93" s="445"/>
      <c r="F93" s="445"/>
    </row>
    <row r="94" spans="1:6">
      <c r="A94" s="442" t="s">
        <v>892</v>
      </c>
      <c r="B94" s="443" t="s">
        <v>359</v>
      </c>
      <c r="C94" s="442"/>
      <c r="D94" s="472"/>
      <c r="E94" s="445"/>
      <c r="F94" s="445"/>
    </row>
    <row r="95" spans="1:6" ht="27.6">
      <c r="A95" s="398" t="s">
        <v>893</v>
      </c>
      <c r="B95" s="401" t="s">
        <v>366</v>
      </c>
      <c r="C95" s="398" t="s">
        <v>346</v>
      </c>
      <c r="D95" s="400">
        <v>14</v>
      </c>
      <c r="E95" s="446"/>
      <c r="F95" s="446">
        <f t="shared" si="2"/>
        <v>0</v>
      </c>
    </row>
    <row r="96" spans="1:6">
      <c r="A96" s="442" t="s">
        <v>1172</v>
      </c>
      <c r="B96" s="443" t="s">
        <v>336</v>
      </c>
      <c r="C96" s="442"/>
      <c r="D96" s="472"/>
      <c r="E96" s="445"/>
      <c r="F96" s="445"/>
    </row>
    <row r="97" spans="1:6">
      <c r="A97" s="398" t="s">
        <v>344</v>
      </c>
      <c r="B97" s="401" t="s">
        <v>352</v>
      </c>
      <c r="C97" s="398" t="s">
        <v>140</v>
      </c>
      <c r="D97" s="400">
        <v>1</v>
      </c>
      <c r="E97" s="446"/>
      <c r="F97" s="446">
        <f t="shared" si="2"/>
        <v>0</v>
      </c>
    </row>
    <row r="98" spans="1:6">
      <c r="A98" s="442" t="s">
        <v>403</v>
      </c>
      <c r="B98" s="443" t="s">
        <v>404</v>
      </c>
      <c r="C98" s="442"/>
      <c r="D98" s="472"/>
      <c r="E98" s="445"/>
      <c r="F98" s="445"/>
    </row>
    <row r="99" spans="1:6" ht="15">
      <c r="A99" s="398" t="s">
        <v>408</v>
      </c>
      <c r="B99" s="401" t="s">
        <v>411</v>
      </c>
      <c r="C99" s="398" t="s">
        <v>852</v>
      </c>
      <c r="D99" s="400">
        <v>206.1</v>
      </c>
      <c r="E99" s="446"/>
      <c r="F99" s="446">
        <f t="shared" si="2"/>
        <v>0</v>
      </c>
    </row>
    <row r="100" spans="1:6" ht="15">
      <c r="A100" s="398" t="s">
        <v>416</v>
      </c>
      <c r="B100" s="401" t="s">
        <v>418</v>
      </c>
      <c r="C100" s="398" t="s">
        <v>852</v>
      </c>
      <c r="D100" s="400">
        <v>18.829999999999998</v>
      </c>
      <c r="E100" s="446"/>
      <c r="F100" s="446">
        <f t="shared" si="2"/>
        <v>0</v>
      </c>
    </row>
    <row r="101" spans="1:6" ht="15">
      <c r="A101" s="398" t="s">
        <v>419</v>
      </c>
      <c r="B101" s="401" t="s">
        <v>425</v>
      </c>
      <c r="C101" s="398" t="s">
        <v>852</v>
      </c>
      <c r="D101" s="400">
        <v>52.92</v>
      </c>
      <c r="E101" s="446"/>
      <c r="F101" s="446">
        <f t="shared" si="2"/>
        <v>0</v>
      </c>
    </row>
    <row r="102" spans="1:6" ht="27.6">
      <c r="A102" s="398" t="s">
        <v>919</v>
      </c>
      <c r="B102" s="401" t="s">
        <v>407</v>
      </c>
      <c r="C102" s="398" t="s">
        <v>852</v>
      </c>
      <c r="D102" s="400">
        <v>103.8</v>
      </c>
      <c r="E102" s="446"/>
      <c r="F102" s="446">
        <f t="shared" si="2"/>
        <v>0</v>
      </c>
    </row>
    <row r="103" spans="1:6" ht="15">
      <c r="A103" s="398" t="s">
        <v>920</v>
      </c>
      <c r="B103" s="401" t="s">
        <v>430</v>
      </c>
      <c r="C103" s="398" t="s">
        <v>852</v>
      </c>
      <c r="D103" s="400">
        <v>288.54000000000002</v>
      </c>
      <c r="E103" s="446"/>
      <c r="F103" s="446">
        <f t="shared" si="2"/>
        <v>0</v>
      </c>
    </row>
    <row r="104" spans="1:6">
      <c r="A104" s="442" t="s">
        <v>132</v>
      </c>
      <c r="B104" s="443" t="s">
        <v>130</v>
      </c>
      <c r="C104" s="442"/>
      <c r="D104" s="472"/>
      <c r="E104" s="445"/>
      <c r="F104" s="445"/>
    </row>
    <row r="105" spans="1:6" ht="27.6">
      <c r="A105" s="398" t="s">
        <v>137</v>
      </c>
      <c r="B105" s="401" t="s">
        <v>139</v>
      </c>
      <c r="C105" s="398" t="s">
        <v>1179</v>
      </c>
      <c r="D105" s="400">
        <v>1</v>
      </c>
      <c r="E105" s="446"/>
      <c r="F105" s="446">
        <f t="shared" si="2"/>
        <v>0</v>
      </c>
    </row>
    <row r="106" spans="1:6">
      <c r="A106" s="442" t="s">
        <v>433</v>
      </c>
      <c r="B106" s="443" t="s">
        <v>435</v>
      </c>
      <c r="C106" s="442"/>
      <c r="D106" s="472"/>
      <c r="E106" s="445"/>
      <c r="F106" s="445"/>
    </row>
    <row r="107" spans="1:6">
      <c r="A107" s="398" t="s">
        <v>923</v>
      </c>
      <c r="B107" s="399" t="s">
        <v>451</v>
      </c>
      <c r="C107" s="398" t="s">
        <v>346</v>
      </c>
      <c r="D107" s="400">
        <v>5</v>
      </c>
      <c r="E107" s="446"/>
      <c r="F107" s="446">
        <f t="shared" si="2"/>
        <v>0</v>
      </c>
    </row>
    <row r="108" spans="1:6" ht="27.6">
      <c r="A108" s="398" t="s">
        <v>924</v>
      </c>
      <c r="B108" s="401" t="s">
        <v>454</v>
      </c>
      <c r="C108" s="398" t="s">
        <v>346</v>
      </c>
      <c r="D108" s="400">
        <v>9</v>
      </c>
      <c r="E108" s="446"/>
      <c r="F108" s="446">
        <f t="shared" si="2"/>
        <v>0</v>
      </c>
    </row>
    <row r="109" spans="1:6">
      <c r="A109" s="558" t="s">
        <v>1149</v>
      </c>
      <c r="B109" s="512"/>
      <c r="C109" s="513"/>
      <c r="D109" s="514"/>
      <c r="E109" s="515"/>
      <c r="F109" s="516">
        <f>SUM(F88:F108)</f>
        <v>0</v>
      </c>
    </row>
    <row r="110" spans="1:6">
      <c r="A110" s="392"/>
      <c r="B110" s="395"/>
      <c r="E110" s="507"/>
      <c r="F110" s="507"/>
    </row>
    <row r="111" spans="1:6">
      <c r="A111" s="498" t="s">
        <v>1180</v>
      </c>
      <c r="B111" s="498"/>
      <c r="C111" s="499"/>
      <c r="D111" s="500"/>
      <c r="E111" s="501"/>
      <c r="F111" s="501"/>
    </row>
    <row r="112" spans="1:6">
      <c r="A112" s="391"/>
      <c r="B112" s="392"/>
      <c r="C112" s="393"/>
      <c r="D112" s="509"/>
      <c r="E112" s="507"/>
      <c r="F112" s="507"/>
    </row>
    <row r="113" spans="1:11">
      <c r="A113" s="438" t="s">
        <v>0</v>
      </c>
      <c r="B113" s="439" t="s">
        <v>2</v>
      </c>
      <c r="C113" s="438" t="s">
        <v>3</v>
      </c>
      <c r="D113" s="441" t="s">
        <v>839</v>
      </c>
      <c r="E113" s="441" t="s">
        <v>1177</v>
      </c>
      <c r="F113" s="441" t="s">
        <v>1178</v>
      </c>
    </row>
    <row r="114" spans="1:11">
      <c r="A114" s="442" t="s">
        <v>715</v>
      </c>
      <c r="B114" s="443" t="s">
        <v>716</v>
      </c>
      <c r="C114" s="442"/>
      <c r="D114" s="472"/>
      <c r="E114" s="445"/>
      <c r="F114" s="445"/>
    </row>
    <row r="115" spans="1:11">
      <c r="A115" s="398" t="s">
        <v>717</v>
      </c>
      <c r="B115" s="399" t="s">
        <v>718</v>
      </c>
      <c r="C115" s="582" t="s">
        <v>719</v>
      </c>
      <c r="D115" s="582"/>
      <c r="E115" s="582"/>
      <c r="F115" s="582"/>
      <c r="G115" s="378"/>
      <c r="H115" s="378"/>
    </row>
    <row r="116" spans="1:11" ht="27.6">
      <c r="A116" s="398" t="s">
        <v>737</v>
      </c>
      <c r="B116" s="401" t="s">
        <v>738</v>
      </c>
      <c r="C116" s="398" t="s">
        <v>140</v>
      </c>
      <c r="D116" s="400">
        <v>1</v>
      </c>
      <c r="E116" s="446"/>
      <c r="F116" s="446">
        <f>+E116*D116</f>
        <v>0</v>
      </c>
      <c r="J116" s="375"/>
      <c r="K116" s="375"/>
    </row>
    <row r="117" spans="1:11" ht="27.6">
      <c r="A117" s="398" t="s">
        <v>859</v>
      </c>
      <c r="B117" s="401" t="s">
        <v>733</v>
      </c>
      <c r="C117" s="398" t="s">
        <v>140</v>
      </c>
      <c r="D117" s="400">
        <v>1</v>
      </c>
      <c r="E117" s="446"/>
      <c r="F117" s="446">
        <f t="shared" ref="F117:F131" si="3">+E117*D117</f>
        <v>0</v>
      </c>
      <c r="J117" s="375"/>
      <c r="K117" s="375"/>
    </row>
    <row r="118" spans="1:11">
      <c r="A118" s="398" t="s">
        <v>724</v>
      </c>
      <c r="B118" s="399" t="s">
        <v>855</v>
      </c>
      <c r="C118" s="398" t="s">
        <v>140</v>
      </c>
      <c r="D118" s="400">
        <v>1</v>
      </c>
      <c r="E118" s="446"/>
      <c r="F118" s="446">
        <f t="shared" si="3"/>
        <v>0</v>
      </c>
      <c r="J118" s="375"/>
      <c r="K118" s="375"/>
    </row>
    <row r="119" spans="1:11">
      <c r="A119" s="442" t="s">
        <v>329</v>
      </c>
      <c r="B119" s="443" t="s">
        <v>330</v>
      </c>
      <c r="C119" s="442"/>
      <c r="D119" s="472"/>
      <c r="E119" s="445"/>
      <c r="F119" s="445"/>
      <c r="J119" s="375"/>
      <c r="K119" s="375"/>
    </row>
    <row r="120" spans="1:11">
      <c r="A120" s="442" t="s">
        <v>892</v>
      </c>
      <c r="B120" s="443" t="s">
        <v>359</v>
      </c>
      <c r="C120" s="442"/>
      <c r="D120" s="472"/>
      <c r="E120" s="445"/>
      <c r="F120" s="445"/>
      <c r="J120" s="375"/>
      <c r="K120" s="375"/>
    </row>
    <row r="121" spans="1:11" ht="27.6">
      <c r="A121" s="398" t="s">
        <v>895</v>
      </c>
      <c r="B121" s="401" t="s">
        <v>364</v>
      </c>
      <c r="C121" s="398" t="s">
        <v>346</v>
      </c>
      <c r="D121" s="400">
        <v>16</v>
      </c>
      <c r="E121" s="446"/>
      <c r="F121" s="446">
        <f t="shared" si="3"/>
        <v>0</v>
      </c>
      <c r="J121" s="375"/>
      <c r="K121" s="375"/>
    </row>
    <row r="122" spans="1:11">
      <c r="A122" s="442" t="s">
        <v>110</v>
      </c>
      <c r="B122" s="443" t="s">
        <v>111</v>
      </c>
      <c r="C122" s="442"/>
      <c r="D122" s="472"/>
      <c r="E122" s="445"/>
      <c r="F122" s="445"/>
      <c r="J122" s="375"/>
      <c r="K122" s="375"/>
    </row>
    <row r="123" spans="1:11" ht="27.6">
      <c r="A123" s="398" t="s">
        <v>112</v>
      </c>
      <c r="B123" s="401" t="s">
        <v>113</v>
      </c>
      <c r="C123" s="398" t="s">
        <v>852</v>
      </c>
      <c r="D123" s="400">
        <v>70</v>
      </c>
      <c r="E123" s="446"/>
      <c r="F123" s="446">
        <f t="shared" si="3"/>
        <v>0</v>
      </c>
      <c r="J123" s="375"/>
      <c r="K123" s="375"/>
    </row>
    <row r="124" spans="1:11">
      <c r="A124" s="442" t="s">
        <v>403</v>
      </c>
      <c r="B124" s="443" t="s">
        <v>404</v>
      </c>
      <c r="C124" s="442"/>
      <c r="D124" s="472"/>
      <c r="E124" s="445"/>
      <c r="F124" s="445"/>
      <c r="J124" s="375"/>
      <c r="K124" s="375"/>
    </row>
    <row r="125" spans="1:11" ht="15">
      <c r="A125" s="398" t="s">
        <v>416</v>
      </c>
      <c r="B125" s="401" t="s">
        <v>418</v>
      </c>
      <c r="C125" s="398" t="s">
        <v>852</v>
      </c>
      <c r="D125" s="400">
        <v>17.25</v>
      </c>
      <c r="E125" s="446"/>
      <c r="F125" s="446">
        <f t="shared" si="3"/>
        <v>0</v>
      </c>
      <c r="J125" s="375"/>
      <c r="K125" s="375"/>
    </row>
    <row r="126" spans="1:11" ht="15">
      <c r="A126" s="398" t="s">
        <v>419</v>
      </c>
      <c r="B126" s="401" t="s">
        <v>1181</v>
      </c>
      <c r="C126" s="398" t="s">
        <v>852</v>
      </c>
      <c r="D126" s="400">
        <v>121.6</v>
      </c>
      <c r="E126" s="446"/>
      <c r="F126" s="446">
        <f t="shared" si="3"/>
        <v>0</v>
      </c>
      <c r="J126" s="375"/>
      <c r="K126" s="375"/>
    </row>
    <row r="127" spans="1:11">
      <c r="A127" s="442" t="s">
        <v>132</v>
      </c>
      <c r="B127" s="443" t="s">
        <v>130</v>
      </c>
      <c r="C127" s="442"/>
      <c r="D127" s="472"/>
      <c r="E127" s="445"/>
      <c r="F127" s="445"/>
      <c r="J127" s="375"/>
      <c r="K127" s="375"/>
    </row>
    <row r="128" spans="1:11" ht="27.6">
      <c r="A128" s="398" t="s">
        <v>137</v>
      </c>
      <c r="B128" s="401" t="s">
        <v>139</v>
      </c>
      <c r="C128" s="398" t="s">
        <v>140</v>
      </c>
      <c r="D128" s="400">
        <v>1</v>
      </c>
      <c r="E128" s="446"/>
      <c r="F128" s="446">
        <f t="shared" si="3"/>
        <v>0</v>
      </c>
      <c r="J128" s="375"/>
      <c r="K128" s="375"/>
    </row>
    <row r="129" spans="1:14">
      <c r="A129" s="442" t="s">
        <v>433</v>
      </c>
      <c r="B129" s="443" t="s">
        <v>435</v>
      </c>
      <c r="C129" s="442"/>
      <c r="D129" s="472"/>
      <c r="E129" s="445"/>
      <c r="F129" s="445"/>
      <c r="G129" s="368"/>
      <c r="H129" s="368"/>
      <c r="I129" s="368"/>
      <c r="J129" s="375"/>
      <c r="K129" s="375"/>
    </row>
    <row r="130" spans="1:14">
      <c r="A130" s="398" t="s">
        <v>923</v>
      </c>
      <c r="B130" s="399" t="s">
        <v>451</v>
      </c>
      <c r="C130" s="398" t="s">
        <v>346</v>
      </c>
      <c r="D130" s="400">
        <v>8</v>
      </c>
      <c r="E130" s="446"/>
      <c r="F130" s="446">
        <f t="shared" si="3"/>
        <v>0</v>
      </c>
      <c r="J130" s="375"/>
      <c r="K130" s="375"/>
    </row>
    <row r="131" spans="1:14" ht="27.6">
      <c r="A131" s="398" t="s">
        <v>924</v>
      </c>
      <c r="B131" s="401" t="s">
        <v>454</v>
      </c>
      <c r="C131" s="398" t="s">
        <v>346</v>
      </c>
      <c r="D131" s="400">
        <v>8</v>
      </c>
      <c r="E131" s="446"/>
      <c r="F131" s="446">
        <f t="shared" si="3"/>
        <v>0</v>
      </c>
      <c r="J131" s="375"/>
      <c r="K131" s="375"/>
    </row>
    <row r="132" spans="1:14">
      <c r="A132" s="558" t="s">
        <v>1149</v>
      </c>
      <c r="B132" s="512"/>
      <c r="C132" s="513"/>
      <c r="D132" s="514"/>
      <c r="E132" s="515"/>
      <c r="F132" s="516">
        <f>SUM(F116:F131)</f>
        <v>0</v>
      </c>
      <c r="J132" s="375"/>
      <c r="K132" s="375"/>
    </row>
    <row r="133" spans="1:14">
      <c r="J133" s="375"/>
      <c r="K133" s="375"/>
    </row>
    <row r="134" spans="1:14">
      <c r="A134" s="498" t="s">
        <v>1182</v>
      </c>
      <c r="B134" s="498"/>
      <c r="C134" s="499"/>
      <c r="D134" s="500"/>
      <c r="E134" s="501"/>
      <c r="F134" s="501"/>
    </row>
    <row r="135" spans="1:14">
      <c r="A135" s="390"/>
      <c r="B135" s="505"/>
      <c r="J135" s="375"/>
      <c r="K135" s="375"/>
      <c r="L135" s="375"/>
      <c r="M135" s="375"/>
      <c r="N135" s="375"/>
    </row>
    <row r="136" spans="1:14">
      <c r="A136" s="498" t="s">
        <v>1183</v>
      </c>
      <c r="B136" s="498"/>
      <c r="C136" s="499"/>
      <c r="D136" s="500"/>
      <c r="E136" s="501"/>
      <c r="F136" s="501"/>
      <c r="G136" s="374"/>
      <c r="H136" s="374"/>
      <c r="I136" s="374"/>
      <c r="J136" s="375"/>
      <c r="K136" s="375"/>
      <c r="L136" s="375"/>
      <c r="M136" s="375"/>
      <c r="N136" s="375"/>
    </row>
    <row r="137" spans="1:14">
      <c r="A137" s="390"/>
      <c r="B137" s="420"/>
      <c r="G137" s="374"/>
      <c r="H137" s="374"/>
      <c r="I137" s="374"/>
      <c r="J137" s="375"/>
      <c r="K137" s="375"/>
      <c r="L137" s="375"/>
      <c r="M137" s="375"/>
      <c r="N137" s="375"/>
    </row>
    <row r="138" spans="1:14">
      <c r="A138" s="438" t="s">
        <v>0</v>
      </c>
      <c r="B138" s="439" t="s">
        <v>967</v>
      </c>
      <c r="C138" s="438" t="s">
        <v>3</v>
      </c>
      <c r="D138" s="441" t="s">
        <v>839</v>
      </c>
      <c r="E138" s="441" t="s">
        <v>1177</v>
      </c>
      <c r="F138" s="441" t="s">
        <v>1178</v>
      </c>
      <c r="G138" s="374"/>
      <c r="H138" s="374"/>
      <c r="I138" s="374"/>
      <c r="J138" s="375"/>
      <c r="K138" s="375"/>
      <c r="L138" s="375"/>
      <c r="M138" s="375"/>
      <c r="N138" s="375"/>
    </row>
    <row r="139" spans="1:14">
      <c r="A139" s="442" t="s">
        <v>968</v>
      </c>
      <c r="B139" s="443" t="s">
        <v>969</v>
      </c>
      <c r="C139" s="442"/>
      <c r="D139" s="472"/>
      <c r="E139" s="445"/>
      <c r="F139" s="445" t="s">
        <v>1099</v>
      </c>
      <c r="J139" s="375"/>
      <c r="K139" s="375"/>
      <c r="L139" s="375"/>
      <c r="M139" s="375"/>
      <c r="N139" s="375"/>
    </row>
    <row r="140" spans="1:14">
      <c r="A140" s="415" t="s">
        <v>971</v>
      </c>
      <c r="B140" s="401" t="s">
        <v>819</v>
      </c>
      <c r="C140" s="398" t="s">
        <v>67</v>
      </c>
      <c r="D140" s="416">
        <v>82</v>
      </c>
      <c r="E140" s="510"/>
      <c r="F140" s="446">
        <f>+E140*D140</f>
        <v>0</v>
      </c>
      <c r="J140" s="375"/>
      <c r="K140" s="375"/>
      <c r="L140" s="375"/>
      <c r="M140" s="375"/>
      <c r="N140" s="375"/>
    </row>
    <row r="141" spans="1:14">
      <c r="A141" s="442" t="s">
        <v>974</v>
      </c>
      <c r="B141" s="443" t="s">
        <v>812</v>
      </c>
      <c r="C141" s="442"/>
      <c r="D141" s="472"/>
      <c r="E141" s="445"/>
      <c r="F141" s="445"/>
      <c r="J141" s="375"/>
      <c r="K141" s="375"/>
      <c r="L141" s="375"/>
      <c r="M141" s="375"/>
      <c r="N141" s="375"/>
    </row>
    <row r="142" spans="1:14">
      <c r="A142" s="403" t="s">
        <v>975</v>
      </c>
      <c r="B142" s="401" t="s">
        <v>458</v>
      </c>
      <c r="C142" s="398" t="s">
        <v>67</v>
      </c>
      <c r="D142" s="400">
        <v>30</v>
      </c>
      <c r="E142" s="446"/>
      <c r="F142" s="446">
        <f t="shared" ref="F142:F173" si="4">+E142*D142</f>
        <v>0</v>
      </c>
      <c r="J142" s="375"/>
      <c r="K142" s="375"/>
      <c r="L142" s="375"/>
      <c r="M142" s="375"/>
      <c r="N142" s="375"/>
    </row>
    <row r="143" spans="1:14">
      <c r="A143" s="403" t="s">
        <v>976</v>
      </c>
      <c r="B143" s="401" t="s">
        <v>460</v>
      </c>
      <c r="C143" s="398" t="s">
        <v>67</v>
      </c>
      <c r="D143" s="400">
        <v>24</v>
      </c>
      <c r="E143" s="446"/>
      <c r="F143" s="446">
        <f t="shared" si="4"/>
        <v>0</v>
      </c>
      <c r="J143" s="375"/>
      <c r="K143" s="375"/>
      <c r="L143" s="375"/>
      <c r="M143" s="375"/>
      <c r="N143" s="375"/>
    </row>
    <row r="144" spans="1:14">
      <c r="A144" s="442" t="s">
        <v>977</v>
      </c>
      <c r="B144" s="443" t="s">
        <v>16</v>
      </c>
      <c r="C144" s="442"/>
      <c r="D144" s="472"/>
      <c r="E144" s="445"/>
      <c r="F144" s="445"/>
      <c r="J144" s="375"/>
      <c r="K144" s="375"/>
      <c r="L144" s="375"/>
      <c r="M144" s="375"/>
      <c r="N144" s="375"/>
    </row>
    <row r="145" spans="1:14">
      <c r="A145" s="442" t="s">
        <v>574</v>
      </c>
      <c r="B145" s="443" t="s">
        <v>575</v>
      </c>
      <c r="C145" s="442"/>
      <c r="D145" s="472"/>
      <c r="E145" s="445"/>
      <c r="F145" s="445"/>
      <c r="J145" s="375"/>
      <c r="K145" s="375"/>
      <c r="L145" s="375"/>
      <c r="M145" s="375"/>
      <c r="N145" s="375"/>
    </row>
    <row r="146" spans="1:14">
      <c r="A146" s="415" t="s">
        <v>577</v>
      </c>
      <c r="B146" s="401" t="s">
        <v>580</v>
      </c>
      <c r="C146" s="398" t="s">
        <v>326</v>
      </c>
      <c r="D146" s="400">
        <v>1</v>
      </c>
      <c r="E146" s="446"/>
      <c r="F146" s="446">
        <f t="shared" si="4"/>
        <v>0</v>
      </c>
      <c r="J146" s="375"/>
      <c r="K146" s="375"/>
      <c r="L146" s="375"/>
      <c r="M146" s="375"/>
      <c r="N146" s="375"/>
    </row>
    <row r="147" spans="1:14">
      <c r="A147" s="415" t="s">
        <v>579</v>
      </c>
      <c r="B147" s="401" t="s">
        <v>578</v>
      </c>
      <c r="C147" s="398" t="s">
        <v>326</v>
      </c>
      <c r="D147" s="400">
        <v>4</v>
      </c>
      <c r="E147" s="446"/>
      <c r="F147" s="446">
        <f t="shared" si="4"/>
        <v>0</v>
      </c>
      <c r="J147" s="375"/>
      <c r="K147" s="375"/>
      <c r="L147" s="375"/>
      <c r="M147" s="375"/>
      <c r="N147" s="375"/>
    </row>
    <row r="148" spans="1:14">
      <c r="A148" s="442" t="s">
        <v>1137</v>
      </c>
      <c r="B148" s="443" t="s">
        <v>599</v>
      </c>
      <c r="C148" s="442"/>
      <c r="D148" s="472"/>
      <c r="E148" s="445"/>
      <c r="F148" s="445"/>
      <c r="J148" s="375"/>
      <c r="K148" s="375"/>
      <c r="L148" s="375"/>
      <c r="M148" s="375"/>
      <c r="N148" s="375"/>
    </row>
    <row r="149" spans="1:14">
      <c r="A149" s="415" t="s">
        <v>981</v>
      </c>
      <c r="B149" s="401" t="s">
        <v>605</v>
      </c>
      <c r="C149" s="398" t="s">
        <v>326</v>
      </c>
      <c r="D149" s="400">
        <v>6</v>
      </c>
      <c r="E149" s="446"/>
      <c r="F149" s="446">
        <f t="shared" si="4"/>
        <v>0</v>
      </c>
      <c r="J149" s="375"/>
      <c r="K149" s="375"/>
      <c r="L149" s="375"/>
      <c r="M149" s="375"/>
      <c r="N149" s="375"/>
    </row>
    <row r="150" spans="1:14">
      <c r="A150" s="415" t="s">
        <v>982</v>
      </c>
      <c r="B150" s="401" t="s">
        <v>602</v>
      </c>
      <c r="C150" s="398" t="s">
        <v>326</v>
      </c>
      <c r="D150" s="400">
        <v>12</v>
      </c>
      <c r="E150" s="446"/>
      <c r="F150" s="446">
        <f t="shared" si="4"/>
        <v>0</v>
      </c>
      <c r="J150" s="375"/>
      <c r="K150" s="375"/>
      <c r="L150" s="375"/>
      <c r="M150" s="375"/>
      <c r="N150" s="375"/>
    </row>
    <row r="151" spans="1:14">
      <c r="A151" s="442" t="s">
        <v>1138</v>
      </c>
      <c r="B151" s="443" t="s">
        <v>592</v>
      </c>
      <c r="C151" s="442"/>
      <c r="D151" s="472"/>
      <c r="E151" s="445"/>
      <c r="F151" s="445"/>
      <c r="J151" s="375"/>
      <c r="K151" s="375"/>
      <c r="L151" s="375"/>
      <c r="M151" s="375"/>
      <c r="N151" s="375"/>
    </row>
    <row r="152" spans="1:14">
      <c r="A152" s="415" t="s">
        <v>1139</v>
      </c>
      <c r="B152" s="401" t="s">
        <v>595</v>
      </c>
      <c r="C152" s="398" t="s">
        <v>326</v>
      </c>
      <c r="D152" s="400">
        <v>2</v>
      </c>
      <c r="E152" s="446"/>
      <c r="F152" s="446">
        <f t="shared" si="4"/>
        <v>0</v>
      </c>
      <c r="J152" s="375"/>
      <c r="K152" s="375"/>
      <c r="L152" s="375"/>
      <c r="M152" s="375"/>
      <c r="N152" s="375"/>
    </row>
    <row r="153" spans="1:14">
      <c r="A153" s="442" t="s">
        <v>1140</v>
      </c>
      <c r="B153" s="443" t="s">
        <v>497</v>
      </c>
      <c r="C153" s="442"/>
      <c r="D153" s="472"/>
      <c r="E153" s="445"/>
      <c r="F153" s="445"/>
      <c r="J153" s="375"/>
      <c r="K153" s="375"/>
      <c r="L153" s="375"/>
      <c r="M153" s="375"/>
      <c r="N153" s="375"/>
    </row>
    <row r="154" spans="1:14">
      <c r="A154" s="442" t="s">
        <v>507</v>
      </c>
      <c r="B154" s="443" t="s">
        <v>508</v>
      </c>
      <c r="C154" s="442"/>
      <c r="D154" s="472"/>
      <c r="E154" s="445"/>
      <c r="F154" s="445"/>
      <c r="J154" s="375"/>
      <c r="K154" s="375"/>
      <c r="L154" s="375"/>
      <c r="M154" s="375"/>
      <c r="N154" s="375"/>
    </row>
    <row r="155" spans="1:14">
      <c r="A155" s="415" t="s">
        <v>510</v>
      </c>
      <c r="B155" s="401" t="s">
        <v>511</v>
      </c>
      <c r="C155" s="398" t="s">
        <v>326</v>
      </c>
      <c r="D155" s="400">
        <v>16</v>
      </c>
      <c r="E155" s="446"/>
      <c r="F155" s="446">
        <f t="shared" si="4"/>
        <v>0</v>
      </c>
      <c r="J155" s="375"/>
      <c r="K155" s="375"/>
      <c r="L155" s="375"/>
      <c r="M155" s="375"/>
      <c r="N155" s="375"/>
    </row>
    <row r="156" spans="1:14">
      <c r="A156" s="442" t="s">
        <v>983</v>
      </c>
      <c r="B156" s="443" t="s">
        <v>536</v>
      </c>
      <c r="C156" s="442"/>
      <c r="D156" s="472"/>
      <c r="E156" s="445"/>
      <c r="F156" s="445"/>
      <c r="J156" s="375"/>
      <c r="K156" s="375"/>
      <c r="L156" s="375"/>
      <c r="M156" s="375"/>
      <c r="N156" s="375"/>
    </row>
    <row r="157" spans="1:14">
      <c r="A157" s="415" t="s">
        <v>537</v>
      </c>
      <c r="B157" s="401" t="s">
        <v>538</v>
      </c>
      <c r="C157" s="398" t="s">
        <v>326</v>
      </c>
      <c r="D157" s="400">
        <v>3</v>
      </c>
      <c r="E157" s="446"/>
      <c r="F157" s="446">
        <f t="shared" si="4"/>
        <v>0</v>
      </c>
      <c r="J157" s="375"/>
      <c r="K157" s="375"/>
      <c r="L157" s="375"/>
      <c r="M157" s="375"/>
      <c r="N157" s="375"/>
    </row>
    <row r="158" spans="1:14">
      <c r="A158" s="442" t="s">
        <v>1037</v>
      </c>
      <c r="B158" s="443" t="s">
        <v>1130</v>
      </c>
      <c r="C158" s="442"/>
      <c r="D158" s="472"/>
      <c r="E158" s="445"/>
      <c r="F158" s="445"/>
      <c r="J158" s="375"/>
      <c r="K158" s="375"/>
      <c r="L158" s="375"/>
      <c r="M158" s="375"/>
      <c r="N158" s="375"/>
    </row>
    <row r="159" spans="1:14">
      <c r="A159" s="415" t="s">
        <v>1048</v>
      </c>
      <c r="B159" s="401" t="s">
        <v>503</v>
      </c>
      <c r="C159" s="398" t="s">
        <v>326</v>
      </c>
      <c r="D159" s="400">
        <v>2</v>
      </c>
      <c r="E159" s="446"/>
      <c r="F159" s="446">
        <f t="shared" si="4"/>
        <v>0</v>
      </c>
      <c r="J159" s="375"/>
      <c r="K159" s="375"/>
      <c r="L159" s="375"/>
      <c r="M159" s="375"/>
      <c r="N159" s="375"/>
    </row>
    <row r="160" spans="1:14">
      <c r="A160" s="442" t="s">
        <v>1140</v>
      </c>
      <c r="B160" s="443" t="s">
        <v>560</v>
      </c>
      <c r="C160" s="442"/>
      <c r="D160" s="472"/>
      <c r="E160" s="445"/>
      <c r="F160" s="445"/>
      <c r="J160" s="375"/>
      <c r="K160" s="375"/>
      <c r="L160" s="375"/>
      <c r="M160" s="375"/>
      <c r="N160" s="375"/>
    </row>
    <row r="161" spans="1:14">
      <c r="A161" s="415" t="s">
        <v>984</v>
      </c>
      <c r="B161" s="401" t="s">
        <v>563</v>
      </c>
      <c r="C161" s="398" t="s">
        <v>326</v>
      </c>
      <c r="D161" s="400">
        <v>4</v>
      </c>
      <c r="E161" s="446"/>
      <c r="F161" s="446">
        <f t="shared" si="4"/>
        <v>0</v>
      </c>
      <c r="J161" s="375"/>
      <c r="K161" s="375"/>
      <c r="L161" s="375"/>
      <c r="M161" s="375"/>
      <c r="N161" s="375"/>
    </row>
    <row r="162" spans="1:14">
      <c r="A162" s="442" t="s">
        <v>985</v>
      </c>
      <c r="B162" s="443" t="s">
        <v>521</v>
      </c>
      <c r="C162" s="442" t="s">
        <v>28</v>
      </c>
      <c r="D162" s="472"/>
      <c r="E162" s="445"/>
      <c r="F162" s="445"/>
      <c r="J162" s="375"/>
      <c r="K162" s="375"/>
      <c r="L162" s="375"/>
      <c r="M162" s="375"/>
      <c r="N162" s="375"/>
    </row>
    <row r="163" spans="1:14">
      <c r="A163" s="415" t="s">
        <v>986</v>
      </c>
      <c r="B163" s="401" t="s">
        <v>523</v>
      </c>
      <c r="C163" s="398" t="s">
        <v>326</v>
      </c>
      <c r="D163" s="400">
        <v>4</v>
      </c>
      <c r="E163" s="446"/>
      <c r="F163" s="446">
        <f t="shared" si="4"/>
        <v>0</v>
      </c>
      <c r="J163" s="375"/>
      <c r="K163" s="375"/>
      <c r="L163" s="375"/>
      <c r="M163" s="375"/>
      <c r="N163" s="375"/>
    </row>
    <row r="164" spans="1:14">
      <c r="A164" s="442" t="s">
        <v>987</v>
      </c>
      <c r="B164" s="443" t="s">
        <v>565</v>
      </c>
      <c r="C164" s="442"/>
      <c r="D164" s="472"/>
      <c r="E164" s="445"/>
      <c r="F164" s="445"/>
      <c r="J164" s="375"/>
      <c r="K164" s="375"/>
      <c r="L164" s="375"/>
      <c r="M164" s="375"/>
      <c r="N164" s="375"/>
    </row>
    <row r="165" spans="1:14">
      <c r="A165" s="415" t="s">
        <v>567</v>
      </c>
      <c r="B165" s="401" t="s">
        <v>568</v>
      </c>
      <c r="C165" s="398" t="s">
        <v>326</v>
      </c>
      <c r="D165" s="400">
        <v>2</v>
      </c>
      <c r="E165" s="446"/>
      <c r="F165" s="446">
        <f t="shared" si="4"/>
        <v>0</v>
      </c>
      <c r="J165" s="375"/>
      <c r="K165" s="375"/>
      <c r="L165" s="375"/>
      <c r="M165" s="375"/>
      <c r="N165" s="375"/>
    </row>
    <row r="166" spans="1:14">
      <c r="A166" s="442" t="s">
        <v>988</v>
      </c>
      <c r="B166" s="443" t="s">
        <v>549</v>
      </c>
      <c r="C166" s="442"/>
      <c r="D166" s="472"/>
      <c r="E166" s="445"/>
      <c r="F166" s="445"/>
      <c r="J166" s="375"/>
      <c r="K166" s="375"/>
      <c r="L166" s="375"/>
      <c r="M166" s="375"/>
      <c r="N166" s="375"/>
    </row>
    <row r="167" spans="1:14">
      <c r="A167" s="415" t="s">
        <v>989</v>
      </c>
      <c r="B167" s="401" t="s">
        <v>556</v>
      </c>
      <c r="C167" s="398" t="s">
        <v>326</v>
      </c>
      <c r="D167" s="400">
        <v>1</v>
      </c>
      <c r="E167" s="446"/>
      <c r="F167" s="446">
        <f t="shared" si="4"/>
        <v>0</v>
      </c>
      <c r="J167" s="375"/>
      <c r="K167" s="375"/>
      <c r="L167" s="375"/>
      <c r="M167" s="375"/>
      <c r="N167" s="375"/>
    </row>
    <row r="168" spans="1:14">
      <c r="A168" s="442" t="s">
        <v>1141</v>
      </c>
      <c r="B168" s="443" t="s">
        <v>543</v>
      </c>
      <c r="C168" s="442"/>
      <c r="D168" s="472"/>
      <c r="E168" s="445"/>
      <c r="F168" s="445"/>
      <c r="J168" s="375"/>
      <c r="K168" s="375"/>
      <c r="L168" s="375"/>
      <c r="M168" s="375"/>
      <c r="N168" s="375"/>
    </row>
    <row r="169" spans="1:14">
      <c r="A169" s="415" t="s">
        <v>1142</v>
      </c>
      <c r="B169" s="401" t="s">
        <v>546</v>
      </c>
      <c r="C169" s="398" t="s">
        <v>326</v>
      </c>
      <c r="D169" s="400">
        <v>1</v>
      </c>
      <c r="E169" s="446"/>
      <c r="F169" s="446">
        <f t="shared" si="4"/>
        <v>0</v>
      </c>
      <c r="J169" s="375"/>
      <c r="K169" s="375"/>
      <c r="L169" s="375"/>
      <c r="M169" s="375"/>
      <c r="N169" s="375"/>
    </row>
    <row r="170" spans="1:14">
      <c r="A170" s="442" t="s">
        <v>993</v>
      </c>
      <c r="B170" s="443" t="s">
        <v>513</v>
      </c>
      <c r="C170" s="442"/>
      <c r="D170" s="472"/>
      <c r="E170" s="445"/>
      <c r="F170" s="445"/>
      <c r="J170" s="375"/>
      <c r="K170" s="375"/>
      <c r="L170" s="375"/>
      <c r="M170" s="375"/>
      <c r="N170" s="375"/>
    </row>
    <row r="171" spans="1:14">
      <c r="A171" s="415" t="s">
        <v>994</v>
      </c>
      <c r="B171" s="401" t="s">
        <v>516</v>
      </c>
      <c r="C171" s="398" t="s">
        <v>326</v>
      </c>
      <c r="D171" s="400">
        <v>1</v>
      </c>
      <c r="E171" s="446"/>
      <c r="F171" s="446">
        <f t="shared" si="4"/>
        <v>0</v>
      </c>
      <c r="J171" s="375"/>
      <c r="K171" s="375"/>
      <c r="L171" s="375"/>
      <c r="M171" s="375"/>
      <c r="N171" s="375"/>
    </row>
    <row r="172" spans="1:14">
      <c r="A172" s="442" t="s">
        <v>995</v>
      </c>
      <c r="B172" s="443" t="s">
        <v>531</v>
      </c>
      <c r="C172" s="442"/>
      <c r="D172" s="472"/>
      <c r="E172" s="445"/>
      <c r="F172" s="445"/>
      <c r="J172" s="375"/>
      <c r="K172" s="375"/>
      <c r="L172" s="375"/>
      <c r="M172" s="375"/>
      <c r="N172" s="375"/>
    </row>
    <row r="173" spans="1:14">
      <c r="A173" s="415" t="s">
        <v>533</v>
      </c>
      <c r="B173" s="401" t="s">
        <v>1184</v>
      </c>
      <c r="C173" s="398" t="s">
        <v>326</v>
      </c>
      <c r="D173" s="400">
        <v>5</v>
      </c>
      <c r="E173" s="446"/>
      <c r="F173" s="446">
        <f t="shared" si="4"/>
        <v>0</v>
      </c>
      <c r="J173" s="375"/>
      <c r="K173" s="375"/>
      <c r="L173" s="375"/>
      <c r="M173" s="375"/>
      <c r="N173" s="375"/>
    </row>
    <row r="174" spans="1:14">
      <c r="A174" s="558" t="s">
        <v>1149</v>
      </c>
      <c r="B174" s="512"/>
      <c r="C174" s="513"/>
      <c r="D174" s="514"/>
      <c r="E174" s="515"/>
      <c r="F174" s="516">
        <f>SUM(F140:F173)</f>
        <v>0</v>
      </c>
      <c r="J174" s="375"/>
      <c r="K174" s="375"/>
      <c r="L174" s="375"/>
      <c r="M174" s="375"/>
      <c r="N174" s="375"/>
    </row>
    <row r="175" spans="1:14">
      <c r="A175" s="390"/>
      <c r="B175" s="419"/>
      <c r="J175" s="375"/>
      <c r="K175" s="375"/>
      <c r="L175" s="375"/>
      <c r="M175" s="375"/>
      <c r="N175" s="375"/>
    </row>
    <row r="176" spans="1:14">
      <c r="A176" s="498" t="s">
        <v>1185</v>
      </c>
      <c r="B176" s="498"/>
      <c r="C176" s="499"/>
      <c r="D176" s="500"/>
      <c r="E176" s="501"/>
      <c r="F176" s="501"/>
      <c r="G176" s="374"/>
      <c r="H176" s="374"/>
      <c r="I176" s="374"/>
      <c r="J176" s="375"/>
      <c r="K176" s="375"/>
      <c r="L176" s="375"/>
      <c r="M176" s="375"/>
      <c r="N176" s="375"/>
    </row>
    <row r="177" spans="1:14">
      <c r="A177" s="390"/>
      <c r="B177" s="505"/>
      <c r="J177" s="375"/>
      <c r="K177" s="375"/>
      <c r="L177" s="375"/>
      <c r="M177" s="375"/>
      <c r="N177" s="375"/>
    </row>
    <row r="178" spans="1:14">
      <c r="A178" s="438" t="s">
        <v>0</v>
      </c>
      <c r="B178" s="439" t="s">
        <v>967</v>
      </c>
      <c r="C178" s="438" t="s">
        <v>3</v>
      </c>
      <c r="D178" s="441" t="s">
        <v>839</v>
      </c>
      <c r="E178" s="441" t="s">
        <v>1097</v>
      </c>
      <c r="F178" s="441" t="s">
        <v>1098</v>
      </c>
      <c r="J178" s="375"/>
      <c r="K178" s="375"/>
      <c r="L178" s="375"/>
      <c r="M178" s="375"/>
      <c r="N178" s="375"/>
    </row>
    <row r="179" spans="1:14">
      <c r="A179" s="442" t="s">
        <v>1145</v>
      </c>
      <c r="B179" s="443" t="s">
        <v>29</v>
      </c>
      <c r="C179" s="442"/>
      <c r="D179" s="472"/>
      <c r="E179" s="445"/>
      <c r="F179" s="445"/>
      <c r="J179" s="375"/>
      <c r="K179" s="375"/>
      <c r="L179" s="375"/>
      <c r="M179" s="375"/>
      <c r="N179" s="375"/>
    </row>
    <row r="180" spans="1:14">
      <c r="A180" s="442" t="s">
        <v>692</v>
      </c>
      <c r="B180" s="443" t="s">
        <v>697</v>
      </c>
      <c r="C180" s="442"/>
      <c r="D180" s="472"/>
      <c r="E180" s="445"/>
      <c r="F180" s="445"/>
      <c r="J180" s="375"/>
      <c r="K180" s="375"/>
      <c r="L180" s="375"/>
      <c r="M180" s="375"/>
      <c r="N180" s="375"/>
    </row>
    <row r="181" spans="1:14" ht="27.6">
      <c r="A181" s="403" t="s">
        <v>998</v>
      </c>
      <c r="B181" s="401" t="s">
        <v>999</v>
      </c>
      <c r="C181" s="398" t="s">
        <v>67</v>
      </c>
      <c r="D181" s="400">
        <v>24</v>
      </c>
      <c r="E181" s="446"/>
      <c r="F181" s="446">
        <f>+E181*D181</f>
        <v>0</v>
      </c>
      <c r="J181" s="375"/>
      <c r="K181" s="375"/>
      <c r="L181" s="375"/>
      <c r="M181" s="375"/>
      <c r="N181" s="375"/>
    </row>
    <row r="182" spans="1:14">
      <c r="A182" s="442" t="s">
        <v>1000</v>
      </c>
      <c r="B182" s="443" t="s">
        <v>463</v>
      </c>
      <c r="C182" s="442"/>
      <c r="D182" s="472"/>
      <c r="E182" s="445"/>
      <c r="F182" s="445"/>
      <c r="J182" s="375"/>
      <c r="K182" s="375"/>
      <c r="L182" s="375"/>
      <c r="M182" s="375"/>
      <c r="N182" s="375"/>
    </row>
    <row r="183" spans="1:14">
      <c r="A183" s="442" t="s">
        <v>1001</v>
      </c>
      <c r="B183" s="443" t="s">
        <v>1002</v>
      </c>
      <c r="C183" s="442"/>
      <c r="D183" s="472"/>
      <c r="E183" s="445"/>
      <c r="F183" s="445"/>
      <c r="J183" s="375"/>
      <c r="K183" s="375"/>
      <c r="L183" s="375"/>
      <c r="M183" s="375"/>
      <c r="N183" s="375"/>
    </row>
    <row r="184" spans="1:14">
      <c r="A184" s="403" t="s">
        <v>1005</v>
      </c>
      <c r="B184" s="401" t="s">
        <v>1186</v>
      </c>
      <c r="C184" s="398" t="s">
        <v>67</v>
      </c>
      <c r="D184" s="416">
        <v>82</v>
      </c>
      <c r="E184" s="446"/>
      <c r="F184" s="446">
        <f t="shared" ref="F184:F197" si="5">+E184*D184</f>
        <v>0</v>
      </c>
      <c r="J184" s="375"/>
      <c r="K184" s="375"/>
      <c r="L184" s="375"/>
      <c r="M184" s="375"/>
      <c r="N184" s="375"/>
    </row>
    <row r="185" spans="1:14">
      <c r="A185" s="442" t="s">
        <v>1007</v>
      </c>
      <c r="B185" s="443" t="s">
        <v>456</v>
      </c>
      <c r="C185" s="442"/>
      <c r="D185" s="472"/>
      <c r="E185" s="445"/>
      <c r="F185" s="445"/>
      <c r="J185" s="375"/>
      <c r="K185" s="375"/>
      <c r="L185" s="375"/>
      <c r="M185" s="375"/>
      <c r="N185" s="375"/>
    </row>
    <row r="186" spans="1:14">
      <c r="A186" s="403" t="s">
        <v>1008</v>
      </c>
      <c r="B186" s="401" t="s">
        <v>458</v>
      </c>
      <c r="C186" s="398" t="s">
        <v>67</v>
      </c>
      <c r="D186" s="400">
        <v>30</v>
      </c>
      <c r="E186" s="446"/>
      <c r="F186" s="446">
        <f t="shared" si="5"/>
        <v>0</v>
      </c>
      <c r="J186" s="375"/>
      <c r="K186" s="375"/>
      <c r="L186" s="375"/>
      <c r="M186" s="375"/>
      <c r="N186" s="375"/>
    </row>
    <row r="187" spans="1:14">
      <c r="A187" s="403" t="s">
        <v>1009</v>
      </c>
      <c r="B187" s="401" t="s">
        <v>460</v>
      </c>
      <c r="C187" s="398" t="s">
        <v>67</v>
      </c>
      <c r="D187" s="400">
        <v>24</v>
      </c>
      <c r="E187" s="446"/>
      <c r="F187" s="446">
        <f t="shared" si="5"/>
        <v>0</v>
      </c>
      <c r="J187" s="375"/>
      <c r="K187" s="375"/>
      <c r="L187" s="375"/>
      <c r="M187" s="375"/>
      <c r="N187" s="375"/>
    </row>
    <row r="188" spans="1:14">
      <c r="A188" s="442" t="s">
        <v>1146</v>
      </c>
      <c r="B188" s="443" t="s">
        <v>483</v>
      </c>
      <c r="C188" s="442"/>
      <c r="D188" s="472"/>
      <c r="E188" s="445"/>
      <c r="F188" s="445"/>
      <c r="J188" s="375"/>
      <c r="K188" s="375"/>
      <c r="L188" s="375"/>
      <c r="M188" s="375"/>
      <c r="N188" s="375"/>
    </row>
    <row r="189" spans="1:14">
      <c r="A189" s="403" t="s">
        <v>484</v>
      </c>
      <c r="B189" s="401" t="s">
        <v>488</v>
      </c>
      <c r="C189" s="398" t="s">
        <v>3</v>
      </c>
      <c r="D189" s="400">
        <v>1</v>
      </c>
      <c r="E189" s="446"/>
      <c r="F189" s="446">
        <f t="shared" si="5"/>
        <v>0</v>
      </c>
      <c r="J189" s="375"/>
      <c r="K189" s="375"/>
      <c r="L189" s="375"/>
      <c r="M189" s="375"/>
      <c r="N189" s="375"/>
    </row>
    <row r="190" spans="1:14">
      <c r="A190" s="403" t="s">
        <v>487</v>
      </c>
      <c r="B190" s="401" t="s">
        <v>485</v>
      </c>
      <c r="C190" s="398" t="s">
        <v>3</v>
      </c>
      <c r="D190" s="400">
        <v>1</v>
      </c>
      <c r="E190" s="446"/>
      <c r="F190" s="446">
        <f t="shared" si="5"/>
        <v>0</v>
      </c>
      <c r="J190" s="375"/>
      <c r="K190" s="375"/>
      <c r="L190" s="375"/>
      <c r="M190" s="375"/>
      <c r="N190" s="375"/>
    </row>
    <row r="191" spans="1:14">
      <c r="A191" s="403" t="s">
        <v>490</v>
      </c>
      <c r="B191" s="401" t="s">
        <v>491</v>
      </c>
      <c r="C191" s="398" t="s">
        <v>3</v>
      </c>
      <c r="D191" s="400">
        <v>2</v>
      </c>
      <c r="E191" s="446"/>
      <c r="F191" s="446">
        <f t="shared" si="5"/>
        <v>0</v>
      </c>
      <c r="J191" s="375"/>
      <c r="K191" s="375"/>
      <c r="L191" s="375"/>
      <c r="M191" s="375"/>
      <c r="N191" s="375"/>
    </row>
    <row r="192" spans="1:14">
      <c r="A192" s="403" t="s">
        <v>493</v>
      </c>
      <c r="B192" s="401" t="s">
        <v>494</v>
      </c>
      <c r="C192" s="398" t="s">
        <v>3</v>
      </c>
      <c r="D192" s="400">
        <v>1</v>
      </c>
      <c r="E192" s="446"/>
      <c r="F192" s="446">
        <f t="shared" si="5"/>
        <v>0</v>
      </c>
      <c r="J192" s="375"/>
      <c r="K192" s="375"/>
      <c r="L192" s="375"/>
      <c r="M192" s="375"/>
      <c r="N192" s="375"/>
    </row>
    <row r="193" spans="1:14">
      <c r="A193" s="442" t="s">
        <v>1010</v>
      </c>
      <c r="B193" s="443" t="s">
        <v>72</v>
      </c>
      <c r="C193" s="442"/>
      <c r="D193" s="472"/>
      <c r="E193" s="445"/>
      <c r="F193" s="445"/>
      <c r="J193" s="375"/>
      <c r="K193" s="375"/>
      <c r="L193" s="375"/>
      <c r="M193" s="375"/>
      <c r="N193" s="375"/>
    </row>
    <row r="194" spans="1:14">
      <c r="A194" s="442" t="s">
        <v>1011</v>
      </c>
      <c r="B194" s="443" t="s">
        <v>101</v>
      </c>
      <c r="C194" s="442"/>
      <c r="D194" s="472"/>
      <c r="E194" s="445"/>
      <c r="F194" s="445"/>
      <c r="J194" s="375"/>
      <c r="K194" s="375"/>
      <c r="L194" s="375"/>
      <c r="M194" s="375"/>
      <c r="N194" s="375"/>
    </row>
    <row r="195" spans="1:14">
      <c r="A195" s="415" t="s">
        <v>1012</v>
      </c>
      <c r="B195" s="401" t="s">
        <v>103</v>
      </c>
      <c r="C195" s="398" t="s">
        <v>3</v>
      </c>
      <c r="D195" s="400">
        <v>1</v>
      </c>
      <c r="E195" s="446"/>
      <c r="F195" s="446">
        <f t="shared" si="5"/>
        <v>0</v>
      </c>
      <c r="J195" s="375"/>
      <c r="K195" s="375"/>
      <c r="L195" s="375"/>
      <c r="M195" s="375"/>
      <c r="N195" s="375"/>
    </row>
    <row r="196" spans="1:14">
      <c r="A196" s="442" t="s">
        <v>1147</v>
      </c>
      <c r="B196" s="443" t="s">
        <v>75</v>
      </c>
      <c r="C196" s="442"/>
      <c r="D196" s="472"/>
      <c r="E196" s="445"/>
      <c r="F196" s="445"/>
      <c r="J196" s="375"/>
      <c r="K196" s="375"/>
      <c r="L196" s="375"/>
      <c r="M196" s="375"/>
      <c r="N196" s="375"/>
    </row>
    <row r="197" spans="1:14" ht="27.6">
      <c r="A197" s="415" t="s">
        <v>1148</v>
      </c>
      <c r="B197" s="401" t="s">
        <v>80</v>
      </c>
      <c r="C197" s="398" t="s">
        <v>3</v>
      </c>
      <c r="D197" s="400">
        <v>1</v>
      </c>
      <c r="E197" s="446"/>
      <c r="F197" s="446">
        <f t="shared" si="5"/>
        <v>0</v>
      </c>
      <c r="J197" s="375"/>
      <c r="K197" s="375"/>
      <c r="L197" s="375"/>
      <c r="M197" s="375"/>
      <c r="N197" s="375"/>
    </row>
    <row r="198" spans="1:14" ht="15">
      <c r="A198" s="558" t="s">
        <v>1187</v>
      </c>
      <c r="B198" s="512"/>
      <c r="C198" s="513"/>
      <c r="D198" s="514"/>
      <c r="E198" s="515"/>
      <c r="F198" s="516">
        <f>SUM(F181:F197)</f>
        <v>0</v>
      </c>
      <c r="J198" s="375"/>
      <c r="K198" s="375"/>
      <c r="L198" s="375"/>
      <c r="M198" s="375"/>
      <c r="N198" s="375"/>
    </row>
    <row r="199" spans="1:14" ht="15">
      <c r="A199" s="558" t="s">
        <v>1188</v>
      </c>
      <c r="B199" s="512"/>
      <c r="C199" s="513"/>
      <c r="D199" s="514"/>
      <c r="E199" s="515"/>
      <c r="F199" s="516">
        <f>+F198+F174</f>
        <v>0</v>
      </c>
      <c r="J199" s="375"/>
      <c r="K199" s="375"/>
      <c r="L199" s="375"/>
      <c r="M199" s="375"/>
      <c r="N199" s="375"/>
    </row>
    <row r="200" spans="1:14">
      <c r="A200" s="390"/>
      <c r="B200" s="505"/>
      <c r="G200" s="380"/>
      <c r="H200" s="380"/>
      <c r="I200" s="380"/>
      <c r="J200" s="375"/>
      <c r="K200" s="375"/>
      <c r="L200" s="375"/>
      <c r="M200" s="375"/>
      <c r="N200" s="375"/>
    </row>
    <row r="201" spans="1:14">
      <c r="A201" s="498" t="s">
        <v>1189</v>
      </c>
      <c r="B201" s="498"/>
      <c r="C201" s="499"/>
      <c r="D201" s="500"/>
      <c r="E201" s="501"/>
      <c r="F201" s="501"/>
      <c r="G201" s="374"/>
      <c r="H201" s="374"/>
      <c r="I201" s="374"/>
      <c r="J201" s="375"/>
      <c r="K201" s="375"/>
      <c r="L201" s="375"/>
      <c r="M201" s="375"/>
      <c r="N201" s="375"/>
    </row>
    <row r="202" spans="1:14">
      <c r="A202" s="390"/>
      <c r="B202" s="420"/>
      <c r="G202" s="374"/>
      <c r="H202" s="374"/>
      <c r="I202" s="374"/>
      <c r="J202" s="375"/>
      <c r="K202" s="375"/>
      <c r="L202" s="375"/>
      <c r="M202" s="375"/>
      <c r="N202" s="375"/>
    </row>
    <row r="203" spans="1:14">
      <c r="A203" s="438" t="s">
        <v>0</v>
      </c>
      <c r="B203" s="439" t="s">
        <v>967</v>
      </c>
      <c r="C203" s="438" t="s">
        <v>3</v>
      </c>
      <c r="D203" s="441" t="s">
        <v>839</v>
      </c>
      <c r="E203" s="441" t="s">
        <v>1097</v>
      </c>
      <c r="F203" s="441" t="s">
        <v>1098</v>
      </c>
      <c r="G203" s="374"/>
      <c r="H203" s="374"/>
      <c r="I203" s="374"/>
      <c r="J203" s="375"/>
      <c r="K203" s="375"/>
      <c r="L203" s="375"/>
      <c r="M203" s="375"/>
      <c r="N203" s="375"/>
    </row>
    <row r="204" spans="1:14">
      <c r="A204" s="442" t="s">
        <v>1034</v>
      </c>
      <c r="B204" s="443" t="s">
        <v>827</v>
      </c>
      <c r="C204" s="442"/>
      <c r="D204" s="472"/>
      <c r="E204" s="445"/>
      <c r="F204" s="445"/>
      <c r="J204" s="375"/>
      <c r="K204" s="375"/>
      <c r="L204" s="375"/>
      <c r="M204" s="375"/>
      <c r="N204" s="375"/>
    </row>
    <row r="205" spans="1:14">
      <c r="A205" s="415" t="s">
        <v>1035</v>
      </c>
      <c r="B205" s="401" t="s">
        <v>831</v>
      </c>
      <c r="C205" s="398" t="s">
        <v>67</v>
      </c>
      <c r="D205" s="416">
        <v>12</v>
      </c>
      <c r="E205" s="446"/>
      <c r="F205" s="446">
        <f>+E205*D205</f>
        <v>0</v>
      </c>
      <c r="J205" s="375"/>
      <c r="K205" s="375"/>
      <c r="L205" s="375"/>
      <c r="M205" s="375"/>
      <c r="N205" s="375"/>
    </row>
    <row r="206" spans="1:14">
      <c r="A206" s="415" t="s">
        <v>1036</v>
      </c>
      <c r="B206" s="401" t="s">
        <v>834</v>
      </c>
      <c r="C206" s="398" t="s">
        <v>67</v>
      </c>
      <c r="D206" s="416">
        <v>3</v>
      </c>
      <c r="E206" s="446"/>
      <c r="F206" s="446">
        <f t="shared" ref="F206:F223" si="6">+E206*D206</f>
        <v>0</v>
      </c>
      <c r="J206" s="375"/>
      <c r="K206" s="375"/>
      <c r="L206" s="375"/>
      <c r="M206" s="375"/>
      <c r="N206" s="375"/>
    </row>
    <row r="207" spans="1:14">
      <c r="A207" s="415" t="s">
        <v>837</v>
      </c>
      <c r="B207" s="401" t="s">
        <v>836</v>
      </c>
      <c r="C207" s="398" t="s">
        <v>67</v>
      </c>
      <c r="D207" s="416">
        <v>12</v>
      </c>
      <c r="E207" s="446"/>
      <c r="F207" s="446">
        <f t="shared" si="6"/>
        <v>0</v>
      </c>
      <c r="J207" s="375"/>
      <c r="K207" s="375"/>
      <c r="L207" s="375"/>
      <c r="M207" s="375"/>
      <c r="N207" s="375"/>
    </row>
    <row r="208" spans="1:14">
      <c r="A208" s="442" t="s">
        <v>899</v>
      </c>
      <c r="B208" s="443" t="s">
        <v>323</v>
      </c>
      <c r="C208" s="442"/>
      <c r="D208" s="472"/>
      <c r="E208" s="445"/>
      <c r="F208" s="445"/>
      <c r="J208" s="375"/>
      <c r="K208" s="375"/>
      <c r="L208" s="375"/>
      <c r="M208" s="375"/>
      <c r="N208" s="375"/>
    </row>
    <row r="209" spans="1:14">
      <c r="A209" s="398" t="s">
        <v>900</v>
      </c>
      <c r="B209" s="401" t="s">
        <v>325</v>
      </c>
      <c r="C209" s="398" t="s">
        <v>326</v>
      </c>
      <c r="D209" s="400">
        <v>3</v>
      </c>
      <c r="E209" s="446"/>
      <c r="F209" s="446">
        <f t="shared" si="6"/>
        <v>0</v>
      </c>
      <c r="J209" s="375"/>
      <c r="K209" s="375"/>
      <c r="L209" s="375"/>
      <c r="M209" s="375"/>
      <c r="N209" s="375"/>
    </row>
    <row r="210" spans="1:14">
      <c r="A210" s="398" t="s">
        <v>902</v>
      </c>
      <c r="B210" s="401" t="s">
        <v>328</v>
      </c>
      <c r="C210" s="398" t="s">
        <v>326</v>
      </c>
      <c r="D210" s="400">
        <v>27</v>
      </c>
      <c r="E210" s="446"/>
      <c r="F210" s="446">
        <f t="shared" si="6"/>
        <v>0</v>
      </c>
      <c r="J210" s="375"/>
      <c r="K210" s="375"/>
      <c r="L210" s="375"/>
      <c r="M210" s="375"/>
      <c r="N210" s="375"/>
    </row>
    <row r="211" spans="1:14">
      <c r="A211" s="442" t="s">
        <v>1037</v>
      </c>
      <c r="B211" s="443" t="s">
        <v>14</v>
      </c>
      <c r="C211" s="442"/>
      <c r="D211" s="472"/>
      <c r="E211" s="445"/>
      <c r="F211" s="445"/>
      <c r="J211" s="375"/>
      <c r="K211" s="375"/>
      <c r="L211" s="375"/>
      <c r="M211" s="375"/>
      <c r="N211" s="375"/>
    </row>
    <row r="212" spans="1:14">
      <c r="A212" s="415" t="s">
        <v>1038</v>
      </c>
      <c r="B212" s="401" t="s">
        <v>1039</v>
      </c>
      <c r="C212" s="398" t="s">
        <v>326</v>
      </c>
      <c r="D212" s="400">
        <v>2</v>
      </c>
      <c r="E212" s="446"/>
      <c r="F212" s="446">
        <f t="shared" si="6"/>
        <v>0</v>
      </c>
      <c r="J212" s="375"/>
      <c r="K212" s="375"/>
      <c r="L212" s="375"/>
      <c r="M212" s="375"/>
      <c r="N212" s="375"/>
    </row>
    <row r="213" spans="1:14">
      <c r="A213" s="415" t="s">
        <v>1040</v>
      </c>
      <c r="B213" s="401" t="s">
        <v>526</v>
      </c>
      <c r="C213" s="398" t="s">
        <v>326</v>
      </c>
      <c r="D213" s="400">
        <v>1</v>
      </c>
      <c r="E213" s="446"/>
      <c r="F213" s="446">
        <f t="shared" si="6"/>
        <v>0</v>
      </c>
      <c r="J213" s="375"/>
      <c r="K213" s="375"/>
      <c r="L213" s="375"/>
      <c r="M213" s="375"/>
      <c r="N213" s="375"/>
    </row>
    <row r="214" spans="1:14">
      <c r="A214" s="415" t="s">
        <v>1041</v>
      </c>
      <c r="B214" s="401" t="s">
        <v>529</v>
      </c>
      <c r="C214" s="398" t="s">
        <v>326</v>
      </c>
      <c r="D214" s="400">
        <v>1</v>
      </c>
      <c r="E214" s="446"/>
      <c r="F214" s="446">
        <f t="shared" si="6"/>
        <v>0</v>
      </c>
      <c r="J214" s="375"/>
      <c r="K214" s="375"/>
      <c r="L214" s="375"/>
      <c r="M214" s="375"/>
      <c r="N214" s="375"/>
    </row>
    <row r="215" spans="1:14">
      <c r="A215" s="415" t="s">
        <v>1042</v>
      </c>
      <c r="B215" s="401" t="s">
        <v>608</v>
      </c>
      <c r="C215" s="398" t="s">
        <v>326</v>
      </c>
      <c r="D215" s="400">
        <v>4</v>
      </c>
      <c r="E215" s="446"/>
      <c r="F215" s="446">
        <f t="shared" si="6"/>
        <v>0</v>
      </c>
      <c r="J215" s="375"/>
      <c r="K215" s="375"/>
      <c r="L215" s="375"/>
      <c r="M215" s="375"/>
      <c r="N215" s="375"/>
    </row>
    <row r="216" spans="1:14">
      <c r="A216" s="415" t="s">
        <v>1043</v>
      </c>
      <c r="B216" s="401" t="s">
        <v>582</v>
      </c>
      <c r="C216" s="398" t="s">
        <v>326</v>
      </c>
      <c r="D216" s="400">
        <v>4</v>
      </c>
      <c r="E216" s="446"/>
      <c r="F216" s="446">
        <f t="shared" si="6"/>
        <v>0</v>
      </c>
      <c r="J216" s="375"/>
      <c r="K216" s="375"/>
      <c r="L216" s="375"/>
      <c r="M216" s="375"/>
      <c r="N216" s="375"/>
    </row>
    <row r="217" spans="1:14">
      <c r="A217" s="415" t="s">
        <v>1044</v>
      </c>
      <c r="B217" s="401" t="s">
        <v>595</v>
      </c>
      <c r="C217" s="398" t="s">
        <v>326</v>
      </c>
      <c r="D217" s="400">
        <v>2</v>
      </c>
      <c r="E217" s="446"/>
      <c r="F217" s="446">
        <f t="shared" si="6"/>
        <v>0</v>
      </c>
      <c r="J217" s="375"/>
      <c r="K217" s="375"/>
      <c r="L217" s="375"/>
      <c r="M217" s="375"/>
      <c r="N217" s="375"/>
    </row>
    <row r="218" spans="1:14">
      <c r="A218" s="415" t="s">
        <v>1045</v>
      </c>
      <c r="B218" s="401" t="s">
        <v>590</v>
      </c>
      <c r="C218" s="398" t="s">
        <v>326</v>
      </c>
      <c r="D218" s="400">
        <v>4</v>
      </c>
      <c r="E218" s="446"/>
      <c r="F218" s="446">
        <f t="shared" si="6"/>
        <v>0</v>
      </c>
      <c r="J218" s="375"/>
      <c r="K218" s="375"/>
      <c r="L218" s="375"/>
      <c r="M218" s="375"/>
      <c r="N218" s="375"/>
    </row>
    <row r="219" spans="1:14">
      <c r="A219" s="415" t="s">
        <v>1046</v>
      </c>
      <c r="B219" s="401" t="s">
        <v>506</v>
      </c>
      <c r="C219" s="398" t="s">
        <v>326</v>
      </c>
      <c r="D219" s="400">
        <v>1</v>
      </c>
      <c r="E219" s="446"/>
      <c r="F219" s="446">
        <f t="shared" si="6"/>
        <v>0</v>
      </c>
      <c r="J219" s="375"/>
      <c r="K219" s="375"/>
      <c r="L219" s="375"/>
      <c r="M219" s="375"/>
      <c r="N219" s="375"/>
    </row>
    <row r="220" spans="1:14">
      <c r="A220" s="415" t="s">
        <v>570</v>
      </c>
      <c r="B220" s="401" t="s">
        <v>571</v>
      </c>
      <c r="C220" s="398" t="s">
        <v>326</v>
      </c>
      <c r="D220" s="400">
        <v>1</v>
      </c>
      <c r="E220" s="446"/>
      <c r="F220" s="446">
        <f t="shared" si="6"/>
        <v>0</v>
      </c>
      <c r="J220" s="375"/>
      <c r="K220" s="375"/>
      <c r="L220" s="375"/>
      <c r="M220" s="375"/>
      <c r="N220" s="375"/>
    </row>
    <row r="221" spans="1:14">
      <c r="A221" s="415" t="s">
        <v>1047</v>
      </c>
      <c r="B221" s="401" t="s">
        <v>553</v>
      </c>
      <c r="C221" s="398" t="s">
        <v>326</v>
      </c>
      <c r="D221" s="400">
        <v>1</v>
      </c>
      <c r="E221" s="446"/>
      <c r="F221" s="446">
        <f t="shared" si="6"/>
        <v>0</v>
      </c>
      <c r="J221" s="375"/>
      <c r="K221" s="375"/>
      <c r="L221" s="375"/>
      <c r="M221" s="375"/>
      <c r="N221" s="375"/>
    </row>
    <row r="222" spans="1:14">
      <c r="A222" s="442" t="s">
        <v>1049</v>
      </c>
      <c r="B222" s="443" t="s">
        <v>1050</v>
      </c>
      <c r="C222" s="442"/>
      <c r="D222" s="472"/>
      <c r="E222" s="445"/>
      <c r="F222" s="445"/>
      <c r="J222" s="375"/>
      <c r="K222" s="375"/>
      <c r="L222" s="375"/>
      <c r="M222" s="375"/>
      <c r="N222" s="375"/>
    </row>
    <row r="223" spans="1:14">
      <c r="A223" s="398" t="s">
        <v>1051</v>
      </c>
      <c r="B223" s="401" t="s">
        <v>691</v>
      </c>
      <c r="C223" s="398" t="s">
        <v>326</v>
      </c>
      <c r="D223" s="400">
        <v>1</v>
      </c>
      <c r="E223" s="446"/>
      <c r="F223" s="446">
        <f t="shared" si="6"/>
        <v>0</v>
      </c>
      <c r="J223" s="375"/>
      <c r="K223" s="375"/>
      <c r="L223" s="375"/>
      <c r="M223" s="375"/>
      <c r="N223" s="375"/>
    </row>
    <row r="224" spans="1:14">
      <c r="A224" s="517"/>
      <c r="B224" s="512" t="s">
        <v>1143</v>
      </c>
      <c r="C224" s="513"/>
      <c r="D224" s="514"/>
      <c r="E224" s="515"/>
      <c r="F224" s="516">
        <f>SUM(F205:F223)</f>
        <v>0</v>
      </c>
      <c r="J224" s="375"/>
      <c r="K224" s="375"/>
      <c r="L224" s="375"/>
      <c r="M224" s="375"/>
      <c r="N224" s="375"/>
    </row>
    <row r="225" spans="1:14">
      <c r="A225" s="390"/>
      <c r="B225" s="505"/>
      <c r="J225" s="375"/>
      <c r="K225" s="375"/>
      <c r="L225" s="375"/>
      <c r="M225" s="375"/>
      <c r="N225" s="375"/>
    </row>
    <row r="226" spans="1:14">
      <c r="A226" s="498" t="s">
        <v>1190</v>
      </c>
      <c r="B226" s="498"/>
      <c r="C226" s="499"/>
      <c r="D226" s="500"/>
      <c r="E226" s="501"/>
      <c r="F226" s="501"/>
      <c r="G226" s="374"/>
      <c r="H226" s="374"/>
      <c r="I226" s="374"/>
      <c r="J226" s="375"/>
      <c r="K226" s="375"/>
      <c r="L226" s="375"/>
      <c r="M226" s="375"/>
      <c r="N226" s="375"/>
    </row>
    <row r="227" spans="1:14">
      <c r="A227" s="390"/>
      <c r="B227" s="505"/>
      <c r="J227" s="375"/>
      <c r="K227" s="375"/>
      <c r="L227" s="375"/>
      <c r="M227" s="375"/>
      <c r="N227" s="375"/>
    </row>
    <row r="228" spans="1:14">
      <c r="A228" s="438" t="s">
        <v>0</v>
      </c>
      <c r="B228" s="439" t="s">
        <v>967</v>
      </c>
      <c r="C228" s="438" t="s">
        <v>3</v>
      </c>
      <c r="D228" s="441" t="s">
        <v>839</v>
      </c>
      <c r="E228" s="441" t="s">
        <v>1097</v>
      </c>
      <c r="F228" s="441" t="s">
        <v>1098</v>
      </c>
      <c r="J228" s="375"/>
      <c r="K228" s="375"/>
      <c r="L228" s="375"/>
      <c r="M228" s="375"/>
      <c r="N228" s="375"/>
    </row>
    <row r="229" spans="1:14">
      <c r="A229" s="442" t="s">
        <v>773</v>
      </c>
      <c r="B229" s="443" t="s">
        <v>774</v>
      </c>
      <c r="C229" s="442"/>
      <c r="D229" s="472"/>
      <c r="E229" s="445"/>
      <c r="F229" s="445"/>
      <c r="J229" s="375"/>
      <c r="K229" s="375"/>
      <c r="L229" s="375"/>
      <c r="M229" s="375"/>
      <c r="N229" s="375"/>
    </row>
    <row r="230" spans="1:14">
      <c r="A230" s="415" t="s">
        <v>785</v>
      </c>
      <c r="B230" s="401" t="s">
        <v>779</v>
      </c>
      <c r="C230" s="398" t="s">
        <v>123</v>
      </c>
      <c r="D230" s="400">
        <v>1</v>
      </c>
      <c r="E230" s="446"/>
      <c r="F230" s="446">
        <f>+E230*D230</f>
        <v>0</v>
      </c>
      <c r="J230" s="375"/>
      <c r="K230" s="375"/>
      <c r="L230" s="375"/>
      <c r="M230" s="375"/>
      <c r="N230" s="375"/>
    </row>
    <row r="231" spans="1:14">
      <c r="A231" s="415" t="s">
        <v>778</v>
      </c>
      <c r="B231" s="401" t="s">
        <v>1056</v>
      </c>
      <c r="C231" s="398" t="s">
        <v>783</v>
      </c>
      <c r="D231" s="400">
        <v>8</v>
      </c>
      <c r="E231" s="446"/>
      <c r="F231" s="446">
        <f t="shared" ref="F231:F238" si="7">+E231*D231</f>
        <v>0</v>
      </c>
      <c r="J231" s="375"/>
      <c r="K231" s="375"/>
      <c r="L231" s="375"/>
      <c r="M231" s="375"/>
      <c r="N231" s="375"/>
    </row>
    <row r="232" spans="1:14">
      <c r="A232" s="415" t="s">
        <v>784</v>
      </c>
      <c r="B232" s="401" t="s">
        <v>787</v>
      </c>
      <c r="C232" s="398" t="s">
        <v>783</v>
      </c>
      <c r="D232" s="400">
        <v>6</v>
      </c>
      <c r="E232" s="446"/>
      <c r="F232" s="446">
        <f t="shared" si="7"/>
        <v>0</v>
      </c>
      <c r="J232" s="375"/>
      <c r="K232" s="375"/>
      <c r="L232" s="375"/>
      <c r="M232" s="375"/>
      <c r="N232" s="375"/>
    </row>
    <row r="233" spans="1:14">
      <c r="A233" s="415" t="s">
        <v>788</v>
      </c>
      <c r="B233" s="401" t="s">
        <v>790</v>
      </c>
      <c r="C233" s="398" t="s">
        <v>783</v>
      </c>
      <c r="D233" s="400">
        <v>10</v>
      </c>
      <c r="E233" s="446"/>
      <c r="F233" s="446">
        <f t="shared" si="7"/>
        <v>0</v>
      </c>
      <c r="J233" s="375"/>
      <c r="K233" s="375"/>
      <c r="L233" s="375"/>
      <c r="M233" s="375"/>
      <c r="N233" s="375"/>
    </row>
    <row r="234" spans="1:14">
      <c r="A234" s="415" t="s">
        <v>791</v>
      </c>
      <c r="B234" s="401" t="s">
        <v>795</v>
      </c>
      <c r="C234" s="398" t="s">
        <v>794</v>
      </c>
      <c r="D234" s="400">
        <v>10</v>
      </c>
      <c r="E234" s="446"/>
      <c r="F234" s="446">
        <f t="shared" si="7"/>
        <v>0</v>
      </c>
      <c r="J234" s="375"/>
      <c r="K234" s="375"/>
      <c r="L234" s="375"/>
      <c r="M234" s="375"/>
      <c r="N234" s="375"/>
    </row>
    <row r="235" spans="1:14">
      <c r="A235" s="415" t="s">
        <v>796</v>
      </c>
      <c r="B235" s="401" t="s">
        <v>798</v>
      </c>
      <c r="C235" s="398" t="s">
        <v>85</v>
      </c>
      <c r="D235" s="400">
        <v>1</v>
      </c>
      <c r="E235" s="446"/>
      <c r="F235" s="446">
        <f t="shared" si="7"/>
        <v>0</v>
      </c>
      <c r="J235" s="375"/>
      <c r="K235" s="375"/>
      <c r="L235" s="375"/>
      <c r="M235" s="375"/>
      <c r="N235" s="375"/>
    </row>
    <row r="236" spans="1:14">
      <c r="A236" s="415" t="s">
        <v>799</v>
      </c>
      <c r="B236" s="401" t="s">
        <v>1058</v>
      </c>
      <c r="C236" s="398" t="s">
        <v>794</v>
      </c>
      <c r="D236" s="400">
        <v>12</v>
      </c>
      <c r="E236" s="446"/>
      <c r="F236" s="446">
        <f t="shared" si="7"/>
        <v>0</v>
      </c>
      <c r="J236" s="375"/>
      <c r="K236" s="375"/>
      <c r="L236" s="375"/>
      <c r="M236" s="375"/>
      <c r="N236" s="375"/>
    </row>
    <row r="237" spans="1:14">
      <c r="A237" s="415" t="s">
        <v>801</v>
      </c>
      <c r="B237" s="401" t="s">
        <v>803</v>
      </c>
      <c r="C237" s="398" t="s">
        <v>67</v>
      </c>
      <c r="D237" s="400">
        <v>10</v>
      </c>
      <c r="E237" s="446"/>
      <c r="F237" s="446">
        <f t="shared" si="7"/>
        <v>0</v>
      </c>
      <c r="J237" s="375"/>
      <c r="K237" s="375"/>
      <c r="L237" s="375"/>
      <c r="M237" s="375"/>
      <c r="N237" s="375"/>
    </row>
    <row r="238" spans="1:14">
      <c r="A238" s="415" t="s">
        <v>808</v>
      </c>
      <c r="B238" s="401" t="s">
        <v>809</v>
      </c>
      <c r="C238" s="398" t="s">
        <v>810</v>
      </c>
      <c r="D238" s="400">
        <v>3</v>
      </c>
      <c r="E238" s="446"/>
      <c r="F238" s="446">
        <f t="shared" si="7"/>
        <v>0</v>
      </c>
      <c r="J238" s="375"/>
      <c r="K238" s="375"/>
      <c r="L238" s="375"/>
      <c r="M238" s="375"/>
      <c r="N238" s="375"/>
    </row>
    <row r="239" spans="1:14">
      <c r="A239" s="517"/>
      <c r="B239" s="512" t="s">
        <v>1191</v>
      </c>
      <c r="C239" s="513"/>
      <c r="D239" s="514"/>
      <c r="E239" s="515"/>
      <c r="F239" s="516">
        <f>SUM(F230:F238)</f>
        <v>0</v>
      </c>
      <c r="J239" s="375"/>
      <c r="K239" s="375"/>
      <c r="L239" s="375"/>
      <c r="M239" s="375"/>
      <c r="N239" s="375"/>
    </row>
    <row r="240" spans="1:14">
      <c r="A240" s="517"/>
      <c r="B240" s="512" t="s">
        <v>1192</v>
      </c>
      <c r="C240" s="513"/>
      <c r="D240" s="514"/>
      <c r="E240" s="515"/>
      <c r="F240" s="516">
        <f>+F239+F224</f>
        <v>0</v>
      </c>
      <c r="J240" s="375"/>
      <c r="K240" s="375"/>
      <c r="L240" s="375"/>
      <c r="M240" s="375"/>
      <c r="N240" s="375"/>
    </row>
    <row r="241" spans="1:14">
      <c r="A241" s="517"/>
      <c r="B241" s="512" t="s">
        <v>1193</v>
      </c>
      <c r="C241" s="513"/>
      <c r="D241" s="514"/>
      <c r="E241" s="515"/>
      <c r="F241" s="516">
        <f>+F240*3</f>
        <v>0</v>
      </c>
      <c r="J241" s="375"/>
      <c r="K241" s="375"/>
      <c r="L241" s="375"/>
      <c r="M241" s="375"/>
      <c r="N241" s="375"/>
    </row>
    <row r="242" spans="1:14">
      <c r="A242" s="390"/>
      <c r="B242" s="505"/>
      <c r="J242" s="375"/>
      <c r="K242" s="375"/>
      <c r="L242" s="375"/>
      <c r="M242" s="375"/>
      <c r="N242" s="375"/>
    </row>
    <row r="243" spans="1:14">
      <c r="A243" s="503"/>
      <c r="B243" s="584" t="s">
        <v>1194</v>
      </c>
      <c r="C243" s="584"/>
      <c r="D243" s="584"/>
      <c r="E243" s="519"/>
      <c r="F243" s="520">
        <f>+F241+F199+F132+F109+F81</f>
        <v>0</v>
      </c>
      <c r="J243" s="375"/>
      <c r="K243" s="375"/>
      <c r="L243" s="375"/>
      <c r="M243" s="375"/>
      <c r="N243" s="375"/>
    </row>
    <row r="244" spans="1:14">
      <c r="A244" s="503"/>
      <c r="B244" s="518" t="s">
        <v>1195</v>
      </c>
      <c r="C244" s="521"/>
      <c r="D244" s="522"/>
      <c r="E244" s="519"/>
      <c r="F244" s="520">
        <f>+F243*0.18</f>
        <v>0</v>
      </c>
      <c r="J244" s="375"/>
      <c r="K244" s="375"/>
      <c r="L244" s="375"/>
      <c r="M244" s="375"/>
      <c r="N244" s="375"/>
    </row>
    <row r="245" spans="1:14">
      <c r="A245" s="503"/>
      <c r="B245" s="518" t="s">
        <v>1196</v>
      </c>
      <c r="C245" s="521"/>
      <c r="D245" s="522"/>
      <c r="E245" s="519"/>
      <c r="F245" s="520">
        <f>SUM(F243:F244)</f>
        <v>0</v>
      </c>
      <c r="J245" s="375"/>
      <c r="K245" s="375"/>
      <c r="L245" s="375"/>
      <c r="M245" s="375"/>
      <c r="N245" s="375"/>
    </row>
    <row r="246" spans="1:14">
      <c r="A246" s="390"/>
      <c r="B246" s="505"/>
      <c r="J246" s="375"/>
      <c r="K246" s="375"/>
      <c r="L246" s="375"/>
      <c r="M246" s="375"/>
      <c r="N246" s="375"/>
    </row>
  </sheetData>
  <mergeCells count="4">
    <mergeCell ref="B243:D243"/>
    <mergeCell ref="A2:F2"/>
    <mergeCell ref="C87:F87"/>
    <mergeCell ref="C115:F1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48"/>
  <sheetViews>
    <sheetView zoomScale="85" zoomScaleNormal="85" workbookViewId="0">
      <selection activeCell="G148" sqref="G148"/>
    </sheetView>
  </sheetViews>
  <sheetFormatPr defaultColWidth="22.5703125" defaultRowHeight="14.45"/>
  <cols>
    <col min="1" max="1" width="16.5703125" style="435" bestFit="1" customWidth="1"/>
    <col min="2" max="2" width="61" style="435" bestFit="1" customWidth="1"/>
    <col min="3" max="3" width="7.7109375" style="435" customWidth="1"/>
    <col min="4" max="4" width="12.28515625" style="436" customWidth="1"/>
    <col min="5" max="5" width="14.85546875" style="437" customWidth="1"/>
    <col min="6" max="6" width="21.7109375" style="437" customWidth="1"/>
  </cols>
  <sheetData>
    <row r="2" spans="1:10" ht="23.25" customHeight="1">
      <c r="A2" s="498" t="s">
        <v>1197</v>
      </c>
      <c r="B2" s="498"/>
      <c r="C2" s="498"/>
      <c r="D2" s="498"/>
      <c r="E2" s="500"/>
      <c r="F2" s="500"/>
      <c r="G2" s="376"/>
      <c r="H2" s="376"/>
      <c r="I2" s="376"/>
      <c r="J2" s="376"/>
    </row>
    <row r="3" spans="1:10">
      <c r="A3" s="390"/>
      <c r="B3" s="390"/>
      <c r="C3" s="390"/>
      <c r="D3" s="502"/>
      <c r="E3" s="506"/>
      <c r="F3" s="506"/>
      <c r="G3" s="375"/>
      <c r="H3" s="375"/>
      <c r="I3" s="375"/>
      <c r="J3" s="375"/>
    </row>
    <row r="4" spans="1:10">
      <c r="A4" s="498" t="s">
        <v>1198</v>
      </c>
      <c r="B4" s="498"/>
      <c r="C4" s="499"/>
      <c r="D4" s="500"/>
      <c r="E4" s="501"/>
      <c r="F4" s="501"/>
      <c r="G4" s="375"/>
      <c r="H4" s="375"/>
      <c r="I4" s="375"/>
      <c r="J4" s="375"/>
    </row>
    <row r="5" spans="1:10">
      <c r="A5" s="390"/>
      <c r="B5" s="390"/>
      <c r="C5" s="390"/>
      <c r="D5" s="502"/>
      <c r="E5" s="506"/>
      <c r="F5" s="506"/>
      <c r="G5" s="375"/>
      <c r="H5" s="375"/>
      <c r="I5" s="375"/>
      <c r="J5" s="375"/>
    </row>
    <row r="6" spans="1:10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1097</v>
      </c>
      <c r="F6" s="441" t="s">
        <v>1199</v>
      </c>
      <c r="G6" s="375"/>
      <c r="H6" s="375"/>
      <c r="I6" s="375"/>
      <c r="J6" s="375"/>
    </row>
    <row r="7" spans="1:10">
      <c r="A7" s="442" t="s">
        <v>715</v>
      </c>
      <c r="B7" s="443" t="s">
        <v>716</v>
      </c>
      <c r="C7" s="442"/>
      <c r="D7" s="472"/>
      <c r="E7" s="445"/>
      <c r="F7" s="445"/>
      <c r="G7" s="375"/>
      <c r="H7" s="375"/>
      <c r="I7" s="375"/>
      <c r="J7" s="375"/>
    </row>
    <row r="8" spans="1:10">
      <c r="A8" s="398" t="s">
        <v>717</v>
      </c>
      <c r="B8" s="399" t="s">
        <v>720</v>
      </c>
      <c r="C8" s="399" t="s">
        <v>123</v>
      </c>
      <c r="D8" s="400">
        <v>1</v>
      </c>
      <c r="E8" s="446"/>
      <c r="F8" s="446">
        <f>+E8*D8</f>
        <v>0</v>
      </c>
      <c r="G8" s="375"/>
      <c r="H8" s="375"/>
      <c r="I8" s="375"/>
      <c r="J8" s="375"/>
    </row>
    <row r="9" spans="1:10">
      <c r="A9" s="442" t="s">
        <v>968</v>
      </c>
      <c r="B9" s="443" t="s">
        <v>817</v>
      </c>
      <c r="C9" s="442"/>
      <c r="D9" s="472"/>
      <c r="E9" s="445"/>
      <c r="F9" s="445"/>
      <c r="G9" s="375"/>
      <c r="H9" s="375"/>
      <c r="I9" s="375"/>
      <c r="J9" s="375"/>
    </row>
    <row r="10" spans="1:10">
      <c r="A10" s="415" t="s">
        <v>971</v>
      </c>
      <c r="B10" s="401" t="s">
        <v>819</v>
      </c>
      <c r="C10" s="401" t="s">
        <v>67</v>
      </c>
      <c r="D10" s="526">
        <v>248</v>
      </c>
      <c r="E10" s="446"/>
      <c r="F10" s="446">
        <f t="shared" ref="F10:F44" si="0">+E10*D10</f>
        <v>0</v>
      </c>
      <c r="G10" s="375"/>
      <c r="H10" s="375"/>
      <c r="I10" s="375"/>
      <c r="J10" s="375"/>
    </row>
    <row r="11" spans="1:10">
      <c r="A11" s="415" t="s">
        <v>972</v>
      </c>
      <c r="B11" s="401" t="s">
        <v>1200</v>
      </c>
      <c r="C11" s="401" t="s">
        <v>67</v>
      </c>
      <c r="D11" s="526">
        <v>55</v>
      </c>
      <c r="E11" s="446"/>
      <c r="F11" s="446">
        <f t="shared" si="0"/>
        <v>0</v>
      </c>
      <c r="G11" s="375"/>
      <c r="H11" s="375"/>
      <c r="I11" s="375"/>
      <c r="J11" s="375"/>
    </row>
    <row r="12" spans="1:10">
      <c r="A12" s="442" t="s">
        <v>974</v>
      </c>
      <c r="B12" s="443" t="s">
        <v>812</v>
      </c>
      <c r="C12" s="442"/>
      <c r="D12" s="472"/>
      <c r="E12" s="445"/>
      <c r="F12" s="445"/>
      <c r="G12" s="375"/>
      <c r="H12" s="375"/>
      <c r="I12" s="375"/>
      <c r="J12" s="375"/>
    </row>
    <row r="13" spans="1:10">
      <c r="A13" s="403" t="s">
        <v>975</v>
      </c>
      <c r="B13" s="401" t="s">
        <v>458</v>
      </c>
      <c r="C13" s="401" t="s">
        <v>67</v>
      </c>
      <c r="D13" s="525">
        <v>30</v>
      </c>
      <c r="E13" s="446"/>
      <c r="F13" s="446">
        <f t="shared" si="0"/>
        <v>0</v>
      </c>
      <c r="G13" s="375"/>
      <c r="H13" s="375"/>
      <c r="I13" s="375"/>
      <c r="J13" s="375"/>
    </row>
    <row r="14" spans="1:10">
      <c r="A14" s="403" t="s">
        <v>976</v>
      </c>
      <c r="B14" s="401" t="s">
        <v>460</v>
      </c>
      <c r="C14" s="401" t="s">
        <v>67</v>
      </c>
      <c r="D14" s="525">
        <v>24</v>
      </c>
      <c r="E14" s="446"/>
      <c r="F14" s="446">
        <f t="shared" si="0"/>
        <v>0</v>
      </c>
      <c r="G14" s="375"/>
      <c r="H14" s="375"/>
      <c r="I14" s="375"/>
      <c r="J14" s="375"/>
    </row>
    <row r="15" spans="1:10">
      <c r="A15" s="442" t="s">
        <v>977</v>
      </c>
      <c r="B15" s="443" t="s">
        <v>16</v>
      </c>
      <c r="C15" s="442"/>
      <c r="D15" s="472"/>
      <c r="E15" s="445"/>
      <c r="F15" s="445"/>
      <c r="G15" s="375"/>
      <c r="H15" s="375"/>
      <c r="I15" s="375"/>
      <c r="J15" s="375"/>
    </row>
    <row r="16" spans="1:10">
      <c r="A16" s="442" t="s">
        <v>574</v>
      </c>
      <c r="B16" s="443" t="s">
        <v>575</v>
      </c>
      <c r="C16" s="442"/>
      <c r="D16" s="472"/>
      <c r="E16" s="445"/>
      <c r="F16" s="445"/>
      <c r="G16" s="375"/>
      <c r="H16" s="375"/>
      <c r="I16" s="375"/>
      <c r="J16" s="375"/>
    </row>
    <row r="17" spans="1:10">
      <c r="A17" s="415" t="s">
        <v>586</v>
      </c>
      <c r="B17" s="401" t="s">
        <v>584</v>
      </c>
      <c r="C17" s="401" t="s">
        <v>326</v>
      </c>
      <c r="D17" s="525">
        <v>1</v>
      </c>
      <c r="E17" s="446"/>
      <c r="F17" s="446">
        <f t="shared" si="0"/>
        <v>0</v>
      </c>
      <c r="G17" s="375"/>
      <c r="H17" s="375"/>
      <c r="I17" s="375"/>
      <c r="J17" s="375"/>
    </row>
    <row r="18" spans="1:10">
      <c r="A18" s="415" t="s">
        <v>579</v>
      </c>
      <c r="B18" s="401" t="s">
        <v>578</v>
      </c>
      <c r="C18" s="401" t="s">
        <v>326</v>
      </c>
      <c r="D18" s="525">
        <v>4</v>
      </c>
      <c r="E18" s="446"/>
      <c r="F18" s="446">
        <f t="shared" si="0"/>
        <v>0</v>
      </c>
      <c r="G18" s="375"/>
      <c r="H18" s="375"/>
      <c r="I18" s="375"/>
      <c r="J18" s="375"/>
    </row>
    <row r="19" spans="1:10">
      <c r="A19" s="442" t="s">
        <v>1137</v>
      </c>
      <c r="B19" s="443" t="s">
        <v>599</v>
      </c>
      <c r="C19" s="442"/>
      <c r="D19" s="472"/>
      <c r="E19" s="445"/>
      <c r="F19" s="445"/>
      <c r="G19" s="375"/>
      <c r="H19" s="375"/>
      <c r="I19" s="375"/>
      <c r="J19" s="375"/>
    </row>
    <row r="20" spans="1:10">
      <c r="A20" s="415" t="s">
        <v>981</v>
      </c>
      <c r="B20" s="401" t="s">
        <v>605</v>
      </c>
      <c r="C20" s="401" t="s">
        <v>326</v>
      </c>
      <c r="D20" s="525">
        <v>6</v>
      </c>
      <c r="E20" s="446"/>
      <c r="F20" s="446">
        <f t="shared" si="0"/>
        <v>0</v>
      </c>
      <c r="G20" s="375"/>
      <c r="H20" s="375"/>
      <c r="I20" s="375"/>
      <c r="J20" s="375"/>
    </row>
    <row r="21" spans="1:10">
      <c r="A21" s="415" t="s">
        <v>982</v>
      </c>
      <c r="B21" s="401" t="s">
        <v>602</v>
      </c>
      <c r="C21" s="401" t="s">
        <v>326</v>
      </c>
      <c r="D21" s="525">
        <v>12</v>
      </c>
      <c r="E21" s="446"/>
      <c r="F21" s="446">
        <f t="shared" si="0"/>
        <v>0</v>
      </c>
      <c r="G21" s="375"/>
      <c r="H21" s="375"/>
      <c r="I21" s="375"/>
      <c r="J21" s="375"/>
    </row>
    <row r="22" spans="1:10">
      <c r="A22" s="442" t="s">
        <v>1138</v>
      </c>
      <c r="B22" s="443" t="s">
        <v>592</v>
      </c>
      <c r="C22" s="442"/>
      <c r="D22" s="472"/>
      <c r="E22" s="445"/>
      <c r="F22" s="445"/>
      <c r="G22" s="375"/>
      <c r="H22" s="375"/>
      <c r="I22" s="375"/>
      <c r="J22" s="375"/>
    </row>
    <row r="23" spans="1:10">
      <c r="A23" s="415" t="s">
        <v>1139</v>
      </c>
      <c r="B23" s="401" t="s">
        <v>595</v>
      </c>
      <c r="C23" s="401" t="s">
        <v>326</v>
      </c>
      <c r="D23" s="525">
        <v>2</v>
      </c>
      <c r="E23" s="446"/>
      <c r="F23" s="446">
        <f t="shared" si="0"/>
        <v>0</v>
      </c>
      <c r="G23" s="375"/>
      <c r="H23" s="375"/>
      <c r="I23" s="375"/>
      <c r="J23" s="375"/>
    </row>
    <row r="24" spans="1:10">
      <c r="A24" s="442" t="s">
        <v>1140</v>
      </c>
      <c r="B24" s="443" t="s">
        <v>497</v>
      </c>
      <c r="C24" s="442"/>
      <c r="D24" s="472"/>
      <c r="E24" s="445"/>
      <c r="F24" s="445"/>
      <c r="G24" s="375"/>
      <c r="H24" s="375"/>
      <c r="I24" s="375"/>
      <c r="J24" s="375"/>
    </row>
    <row r="25" spans="1:10">
      <c r="A25" s="442" t="s">
        <v>507</v>
      </c>
      <c r="B25" s="443" t="s">
        <v>508</v>
      </c>
      <c r="C25" s="442"/>
      <c r="D25" s="472"/>
      <c r="E25" s="445"/>
      <c r="F25" s="445"/>
      <c r="G25" s="375"/>
      <c r="H25" s="375"/>
      <c r="I25" s="375"/>
      <c r="J25" s="375"/>
    </row>
    <row r="26" spans="1:10">
      <c r="A26" s="415" t="s">
        <v>510</v>
      </c>
      <c r="B26" s="401" t="s">
        <v>511</v>
      </c>
      <c r="C26" s="401" t="s">
        <v>326</v>
      </c>
      <c r="D26" s="525">
        <v>12</v>
      </c>
      <c r="E26" s="446"/>
      <c r="F26" s="446">
        <f t="shared" si="0"/>
        <v>0</v>
      </c>
      <c r="G26" s="375"/>
      <c r="H26" s="375"/>
      <c r="I26" s="375"/>
      <c r="J26" s="375"/>
    </row>
    <row r="27" spans="1:10">
      <c r="A27" s="442" t="s">
        <v>983</v>
      </c>
      <c r="B27" s="443" t="s">
        <v>536</v>
      </c>
      <c r="C27" s="442"/>
      <c r="D27" s="472"/>
      <c r="E27" s="445"/>
      <c r="F27" s="445"/>
      <c r="G27" s="375"/>
      <c r="H27" s="375"/>
      <c r="I27" s="375"/>
      <c r="J27" s="375"/>
    </row>
    <row r="28" spans="1:10">
      <c r="A28" s="415" t="s">
        <v>537</v>
      </c>
      <c r="B28" s="401" t="s">
        <v>538</v>
      </c>
      <c r="C28" s="401" t="s">
        <v>326</v>
      </c>
      <c r="D28" s="525">
        <v>2</v>
      </c>
      <c r="E28" s="446"/>
      <c r="F28" s="446">
        <f t="shared" si="0"/>
        <v>0</v>
      </c>
      <c r="G28" s="375"/>
      <c r="H28" s="375"/>
      <c r="I28" s="375"/>
      <c r="J28" s="375"/>
    </row>
    <row r="29" spans="1:10">
      <c r="A29" s="442" t="s">
        <v>1037</v>
      </c>
      <c r="B29" s="443" t="s">
        <v>1130</v>
      </c>
      <c r="C29" s="442"/>
      <c r="D29" s="472"/>
      <c r="E29" s="445"/>
      <c r="F29" s="445"/>
      <c r="G29" s="375"/>
      <c r="H29" s="375"/>
      <c r="I29" s="375"/>
      <c r="J29" s="375"/>
    </row>
    <row r="30" spans="1:10">
      <c r="A30" s="415" t="s">
        <v>1048</v>
      </c>
      <c r="B30" s="401" t="s">
        <v>503</v>
      </c>
      <c r="C30" s="401" t="s">
        <v>326</v>
      </c>
      <c r="D30" s="525">
        <v>2</v>
      </c>
      <c r="E30" s="446"/>
      <c r="F30" s="446">
        <f t="shared" si="0"/>
        <v>0</v>
      </c>
      <c r="G30" s="375"/>
      <c r="H30" s="375"/>
      <c r="I30" s="375"/>
      <c r="J30" s="375"/>
    </row>
    <row r="31" spans="1:10">
      <c r="A31" s="442" t="s">
        <v>1140</v>
      </c>
      <c r="B31" s="443" t="s">
        <v>560</v>
      </c>
      <c r="C31" s="442"/>
      <c r="D31" s="472"/>
      <c r="E31" s="445"/>
      <c r="F31" s="445"/>
      <c r="G31" s="375"/>
      <c r="H31" s="375"/>
      <c r="I31" s="375"/>
      <c r="J31" s="375"/>
    </row>
    <row r="32" spans="1:10">
      <c r="A32" s="415" t="s">
        <v>984</v>
      </c>
      <c r="B32" s="401" t="s">
        <v>563</v>
      </c>
      <c r="C32" s="401" t="s">
        <v>326</v>
      </c>
      <c r="D32" s="525">
        <v>4</v>
      </c>
      <c r="E32" s="446"/>
      <c r="F32" s="446">
        <f t="shared" si="0"/>
        <v>0</v>
      </c>
      <c r="G32" s="375"/>
      <c r="H32" s="375"/>
      <c r="I32" s="375"/>
      <c r="J32" s="375"/>
    </row>
    <row r="33" spans="1:10">
      <c r="A33" s="442" t="s">
        <v>985</v>
      </c>
      <c r="B33" s="443" t="s">
        <v>521</v>
      </c>
      <c r="C33" s="442" t="s">
        <v>28</v>
      </c>
      <c r="D33" s="472"/>
      <c r="E33" s="445"/>
      <c r="F33" s="445"/>
      <c r="G33" s="375"/>
      <c r="H33" s="375"/>
      <c r="I33" s="375"/>
      <c r="J33" s="375"/>
    </row>
    <row r="34" spans="1:10">
      <c r="A34" s="415" t="s">
        <v>986</v>
      </c>
      <c r="B34" s="401" t="s">
        <v>523</v>
      </c>
      <c r="C34" s="401" t="s">
        <v>326</v>
      </c>
      <c r="D34" s="525">
        <v>4</v>
      </c>
      <c r="E34" s="446"/>
      <c r="F34" s="446">
        <f t="shared" si="0"/>
        <v>0</v>
      </c>
      <c r="G34" s="375"/>
      <c r="H34" s="375"/>
      <c r="I34" s="375"/>
      <c r="J34" s="375"/>
    </row>
    <row r="35" spans="1:10">
      <c r="A35" s="442" t="s">
        <v>987</v>
      </c>
      <c r="B35" s="443" t="s">
        <v>565</v>
      </c>
      <c r="C35" s="442"/>
      <c r="D35" s="472"/>
      <c r="E35" s="445"/>
      <c r="F35" s="445"/>
      <c r="G35" s="375"/>
      <c r="H35" s="375"/>
      <c r="I35" s="375"/>
      <c r="J35" s="375"/>
    </row>
    <row r="36" spans="1:10">
      <c r="A36" s="415" t="s">
        <v>567</v>
      </c>
      <c r="B36" s="401" t="s">
        <v>568</v>
      </c>
      <c r="C36" s="401" t="s">
        <v>326</v>
      </c>
      <c r="D36" s="525">
        <v>2</v>
      </c>
      <c r="E36" s="446"/>
      <c r="F36" s="446">
        <f t="shared" si="0"/>
        <v>0</v>
      </c>
      <c r="G36" s="375"/>
      <c r="H36" s="375"/>
      <c r="I36" s="375"/>
      <c r="J36" s="375"/>
    </row>
    <row r="37" spans="1:10">
      <c r="A37" s="442" t="s">
        <v>988</v>
      </c>
      <c r="B37" s="443" t="s">
        <v>549</v>
      </c>
      <c r="C37" s="442"/>
      <c r="D37" s="472"/>
      <c r="E37" s="445"/>
      <c r="F37" s="445"/>
      <c r="G37" s="375"/>
      <c r="H37" s="375"/>
      <c r="I37" s="375"/>
      <c r="J37" s="375"/>
    </row>
    <row r="38" spans="1:10">
      <c r="A38" s="415" t="s">
        <v>989</v>
      </c>
      <c r="B38" s="401" t="s">
        <v>556</v>
      </c>
      <c r="C38" s="401" t="s">
        <v>326</v>
      </c>
      <c r="D38" s="525">
        <v>1</v>
      </c>
      <c r="E38" s="446"/>
      <c r="F38" s="446">
        <f t="shared" si="0"/>
        <v>0</v>
      </c>
      <c r="G38" s="375"/>
      <c r="H38" s="375"/>
      <c r="I38" s="375"/>
      <c r="J38" s="375"/>
    </row>
    <row r="39" spans="1:10">
      <c r="A39" s="442" t="s">
        <v>1141</v>
      </c>
      <c r="B39" s="443" t="s">
        <v>543</v>
      </c>
      <c r="C39" s="442"/>
      <c r="D39" s="472"/>
      <c r="E39" s="445"/>
      <c r="F39" s="445"/>
      <c r="G39" s="375"/>
      <c r="H39" s="375"/>
      <c r="I39" s="375"/>
      <c r="J39" s="375"/>
    </row>
    <row r="40" spans="1:10">
      <c r="A40" s="415" t="s">
        <v>1142</v>
      </c>
      <c r="B40" s="401" t="s">
        <v>546</v>
      </c>
      <c r="C40" s="401" t="s">
        <v>326</v>
      </c>
      <c r="D40" s="525">
        <v>1</v>
      </c>
      <c r="E40" s="446"/>
      <c r="F40" s="446">
        <f t="shared" si="0"/>
        <v>0</v>
      </c>
      <c r="G40" s="375"/>
      <c r="H40" s="375"/>
      <c r="I40" s="375"/>
      <c r="J40" s="375"/>
    </row>
    <row r="41" spans="1:10">
      <c r="A41" s="442" t="s">
        <v>993</v>
      </c>
      <c r="B41" s="443" t="s">
        <v>513</v>
      </c>
      <c r="C41" s="442"/>
      <c r="D41" s="472"/>
      <c r="E41" s="445"/>
      <c r="F41" s="445"/>
      <c r="G41" s="375"/>
      <c r="H41" s="375"/>
      <c r="I41" s="375"/>
      <c r="J41" s="375"/>
    </row>
    <row r="42" spans="1:10">
      <c r="A42" s="415" t="s">
        <v>994</v>
      </c>
      <c r="B42" s="401" t="s">
        <v>516</v>
      </c>
      <c r="C42" s="401" t="s">
        <v>326</v>
      </c>
      <c r="D42" s="525">
        <v>1</v>
      </c>
      <c r="E42" s="446"/>
      <c r="F42" s="446">
        <f t="shared" si="0"/>
        <v>0</v>
      </c>
      <c r="G42" s="375"/>
      <c r="H42" s="375"/>
      <c r="I42" s="375"/>
      <c r="J42" s="375"/>
    </row>
    <row r="43" spans="1:10">
      <c r="A43" s="442" t="s">
        <v>995</v>
      </c>
      <c r="B43" s="443" t="s">
        <v>531</v>
      </c>
      <c r="C43" s="442"/>
      <c r="D43" s="472"/>
      <c r="E43" s="445"/>
      <c r="F43" s="445"/>
      <c r="G43" s="375"/>
      <c r="H43" s="375"/>
      <c r="I43" s="375"/>
      <c r="J43" s="375"/>
    </row>
    <row r="44" spans="1:10">
      <c r="A44" s="415" t="s">
        <v>533</v>
      </c>
      <c r="B44" s="401" t="s">
        <v>1184</v>
      </c>
      <c r="C44" s="401" t="s">
        <v>326</v>
      </c>
      <c r="D44" s="525">
        <v>5</v>
      </c>
      <c r="E44" s="446"/>
      <c r="F44" s="446">
        <f t="shared" si="0"/>
        <v>0</v>
      </c>
      <c r="G44" s="375"/>
      <c r="H44" s="375"/>
      <c r="I44" s="375"/>
      <c r="J44" s="375"/>
    </row>
    <row r="45" spans="1:10">
      <c r="A45" s="558"/>
      <c r="B45" s="512" t="s">
        <v>1143</v>
      </c>
      <c r="C45" s="513"/>
      <c r="D45" s="514"/>
      <c r="E45" s="515"/>
      <c r="F45" s="516">
        <f>SUM(F8:F44)</f>
        <v>0</v>
      </c>
      <c r="G45" s="375"/>
      <c r="H45" s="375"/>
      <c r="I45" s="375"/>
      <c r="J45" s="375"/>
    </row>
    <row r="46" spans="1:10">
      <c r="A46" s="504"/>
      <c r="B46" s="504"/>
      <c r="C46" s="504"/>
      <c r="D46" s="523"/>
      <c r="E46" s="506"/>
      <c r="F46" s="506"/>
      <c r="G46" s="375"/>
      <c r="H46" s="375"/>
      <c r="I46" s="375"/>
      <c r="J46" s="375"/>
    </row>
    <row r="47" spans="1:10">
      <c r="A47" s="498" t="s">
        <v>1201</v>
      </c>
      <c r="B47" s="498"/>
      <c r="C47" s="499"/>
      <c r="D47" s="500"/>
      <c r="E47" s="501"/>
      <c r="F47" s="501"/>
      <c r="G47" s="375"/>
      <c r="H47" s="375"/>
      <c r="I47" s="375"/>
      <c r="J47" s="375"/>
    </row>
    <row r="48" spans="1:10">
      <c r="A48" s="390"/>
      <c r="B48" s="390"/>
      <c r="C48" s="390"/>
      <c r="D48" s="502"/>
      <c r="E48" s="506"/>
      <c r="F48" s="506"/>
      <c r="G48" s="375"/>
      <c r="H48" s="375"/>
      <c r="I48" s="375"/>
      <c r="J48" s="375"/>
    </row>
    <row r="49" spans="1:10">
      <c r="A49" s="438" t="s">
        <v>0</v>
      </c>
      <c r="B49" s="439" t="s">
        <v>967</v>
      </c>
      <c r="C49" s="438" t="s">
        <v>3</v>
      </c>
      <c r="D49" s="441" t="s">
        <v>839</v>
      </c>
      <c r="E49" s="441" t="s">
        <v>1097</v>
      </c>
      <c r="F49" s="441" t="s">
        <v>1199</v>
      </c>
      <c r="G49" s="375"/>
      <c r="H49" s="375"/>
      <c r="I49" s="375"/>
      <c r="J49" s="375"/>
    </row>
    <row r="50" spans="1:10">
      <c r="A50" s="442"/>
      <c r="B50" s="443" t="s">
        <v>29</v>
      </c>
      <c r="C50" s="442"/>
      <c r="D50" s="472"/>
      <c r="E50" s="445"/>
      <c r="F50" s="445"/>
      <c r="G50" s="375"/>
      <c r="H50" s="375"/>
      <c r="I50" s="375"/>
      <c r="J50" s="375"/>
    </row>
    <row r="51" spans="1:10">
      <c r="A51" s="442" t="s">
        <v>692</v>
      </c>
      <c r="B51" s="443" t="s">
        <v>697</v>
      </c>
      <c r="C51" s="442"/>
      <c r="D51" s="472"/>
      <c r="E51" s="445"/>
      <c r="F51" s="445"/>
      <c r="G51" s="375"/>
      <c r="H51" s="375"/>
      <c r="I51" s="375"/>
      <c r="J51" s="375"/>
    </row>
    <row r="52" spans="1:10" ht="27.6">
      <c r="A52" s="403" t="s">
        <v>998</v>
      </c>
      <c r="B52" s="401" t="s">
        <v>999</v>
      </c>
      <c r="C52" s="401" t="s">
        <v>67</v>
      </c>
      <c r="D52" s="525">
        <v>303</v>
      </c>
      <c r="E52" s="446"/>
      <c r="F52" s="446">
        <f>+E52*D52</f>
        <v>0</v>
      </c>
      <c r="G52" s="375"/>
      <c r="H52" s="375"/>
      <c r="I52" s="375"/>
      <c r="J52" s="375"/>
    </row>
    <row r="53" spans="1:10">
      <c r="A53" s="442" t="s">
        <v>1000</v>
      </c>
      <c r="B53" s="443" t="s">
        <v>463</v>
      </c>
      <c r="C53" s="442"/>
      <c r="D53" s="472"/>
      <c r="E53" s="445"/>
      <c r="F53" s="445"/>
      <c r="G53" s="375"/>
      <c r="H53" s="375"/>
      <c r="I53" s="375"/>
      <c r="J53" s="375"/>
    </row>
    <row r="54" spans="1:10">
      <c r="A54" s="442" t="s">
        <v>1001</v>
      </c>
      <c r="B54" s="443" t="s">
        <v>473</v>
      </c>
      <c r="C54" s="442"/>
      <c r="D54" s="472"/>
      <c r="E54" s="445"/>
      <c r="F54" s="445"/>
      <c r="G54" s="375"/>
      <c r="H54" s="375"/>
      <c r="I54" s="375"/>
      <c r="J54" s="375"/>
    </row>
    <row r="55" spans="1:10" ht="15">
      <c r="A55" s="527" t="s">
        <v>1005</v>
      </c>
      <c r="B55" s="401" t="s">
        <v>819</v>
      </c>
      <c r="C55" s="401" t="s">
        <v>67</v>
      </c>
      <c r="D55" s="526">
        <v>248</v>
      </c>
      <c r="E55" s="475"/>
      <c r="F55" s="446">
        <f t="shared" ref="F55:F73" si="1">+E55*D55</f>
        <v>0</v>
      </c>
      <c r="G55" s="375"/>
      <c r="H55" s="375"/>
      <c r="I55" s="375"/>
      <c r="J55" s="375"/>
    </row>
    <row r="56" spans="1:10" ht="15">
      <c r="A56" s="527" t="s">
        <v>1006</v>
      </c>
      <c r="B56" s="401" t="s">
        <v>1200</v>
      </c>
      <c r="C56" s="401" t="s">
        <v>67</v>
      </c>
      <c r="D56" s="526">
        <v>55</v>
      </c>
      <c r="E56" s="475"/>
      <c r="F56" s="446">
        <f t="shared" si="1"/>
        <v>0</v>
      </c>
      <c r="G56" s="375"/>
      <c r="H56" s="375"/>
      <c r="I56" s="375"/>
      <c r="J56" s="375"/>
    </row>
    <row r="57" spans="1:10">
      <c r="A57" s="442" t="s">
        <v>1007</v>
      </c>
      <c r="B57" s="443" t="s">
        <v>456</v>
      </c>
      <c r="C57" s="442"/>
      <c r="D57" s="472"/>
      <c r="E57" s="445"/>
      <c r="F57" s="445"/>
      <c r="G57" s="375"/>
      <c r="H57" s="375"/>
      <c r="I57" s="375"/>
      <c r="J57" s="375"/>
    </row>
    <row r="58" spans="1:10">
      <c r="A58" s="403" t="s">
        <v>1008</v>
      </c>
      <c r="B58" s="401" t="s">
        <v>458</v>
      </c>
      <c r="C58" s="401" t="s">
        <v>67</v>
      </c>
      <c r="D58" s="525">
        <v>30</v>
      </c>
      <c r="E58" s="446"/>
      <c r="F58" s="446">
        <f t="shared" si="1"/>
        <v>0</v>
      </c>
      <c r="G58" s="375"/>
      <c r="H58" s="375"/>
      <c r="I58" s="375"/>
      <c r="J58" s="375"/>
    </row>
    <row r="59" spans="1:10">
      <c r="A59" s="403" t="s">
        <v>1009</v>
      </c>
      <c r="B59" s="401" t="s">
        <v>460</v>
      </c>
      <c r="C59" s="401" t="s">
        <v>67</v>
      </c>
      <c r="D59" s="525">
        <v>24</v>
      </c>
      <c r="E59" s="446"/>
      <c r="F59" s="446">
        <f t="shared" si="1"/>
        <v>0</v>
      </c>
      <c r="G59" s="375"/>
      <c r="H59" s="375"/>
      <c r="I59" s="375"/>
      <c r="J59" s="375"/>
    </row>
    <row r="60" spans="1:10">
      <c r="A60" s="442" t="s">
        <v>482</v>
      </c>
      <c r="B60" s="443" t="s">
        <v>483</v>
      </c>
      <c r="C60" s="442"/>
      <c r="D60" s="472"/>
      <c r="E60" s="445"/>
      <c r="F60" s="445"/>
      <c r="G60" s="375"/>
      <c r="H60" s="375"/>
      <c r="I60" s="375"/>
      <c r="J60" s="375"/>
    </row>
    <row r="61" spans="1:10">
      <c r="A61" s="403" t="s">
        <v>484</v>
      </c>
      <c r="B61" s="401" t="s">
        <v>488</v>
      </c>
      <c r="C61" s="401" t="s">
        <v>3</v>
      </c>
      <c r="D61" s="525">
        <v>1</v>
      </c>
      <c r="E61" s="446"/>
      <c r="F61" s="446">
        <f t="shared" si="1"/>
        <v>0</v>
      </c>
      <c r="G61" s="375"/>
      <c r="H61" s="375"/>
      <c r="I61" s="375"/>
      <c r="J61" s="375"/>
    </row>
    <row r="62" spans="1:10">
      <c r="A62" s="403" t="s">
        <v>487</v>
      </c>
      <c r="B62" s="401" t="s">
        <v>485</v>
      </c>
      <c r="C62" s="401" t="s">
        <v>3</v>
      </c>
      <c r="D62" s="525">
        <v>1</v>
      </c>
      <c r="E62" s="446"/>
      <c r="F62" s="446">
        <f t="shared" si="1"/>
        <v>0</v>
      </c>
      <c r="G62" s="375"/>
      <c r="H62" s="375"/>
      <c r="I62" s="375"/>
      <c r="J62" s="375"/>
    </row>
    <row r="63" spans="1:10">
      <c r="A63" s="403" t="s">
        <v>490</v>
      </c>
      <c r="B63" s="401" t="s">
        <v>491</v>
      </c>
      <c r="C63" s="401" t="s">
        <v>3</v>
      </c>
      <c r="D63" s="525">
        <v>4</v>
      </c>
      <c r="E63" s="446"/>
      <c r="F63" s="446">
        <f t="shared" si="1"/>
        <v>0</v>
      </c>
      <c r="G63" s="375"/>
      <c r="H63" s="375"/>
      <c r="I63" s="375"/>
      <c r="J63" s="375"/>
    </row>
    <row r="64" spans="1:10">
      <c r="A64" s="403" t="s">
        <v>493</v>
      </c>
      <c r="B64" s="401" t="s">
        <v>494</v>
      </c>
      <c r="C64" s="401" t="s">
        <v>3</v>
      </c>
      <c r="D64" s="525">
        <v>1</v>
      </c>
      <c r="E64" s="446"/>
      <c r="F64" s="446">
        <f t="shared" si="1"/>
        <v>0</v>
      </c>
      <c r="G64" s="375"/>
      <c r="H64" s="375"/>
      <c r="I64" s="375"/>
      <c r="J64" s="375"/>
    </row>
    <row r="65" spans="1:10">
      <c r="A65" s="442" t="s">
        <v>1010</v>
      </c>
      <c r="B65" s="443" t="s">
        <v>72</v>
      </c>
      <c r="C65" s="442"/>
      <c r="D65" s="472"/>
      <c r="E65" s="445"/>
      <c r="F65" s="445"/>
      <c r="G65" s="375"/>
      <c r="H65" s="375"/>
      <c r="I65" s="375"/>
      <c r="J65" s="375"/>
    </row>
    <row r="66" spans="1:10">
      <c r="A66" s="442" t="s">
        <v>1011</v>
      </c>
      <c r="B66" s="443" t="s">
        <v>101</v>
      </c>
      <c r="C66" s="442"/>
      <c r="D66" s="472"/>
      <c r="E66" s="445"/>
      <c r="F66" s="445"/>
      <c r="G66" s="375"/>
      <c r="H66" s="375"/>
      <c r="I66" s="375"/>
      <c r="J66" s="375"/>
    </row>
    <row r="67" spans="1:10">
      <c r="A67" s="528" t="s">
        <v>1014</v>
      </c>
      <c r="B67" s="401" t="s">
        <v>105</v>
      </c>
      <c r="C67" s="401" t="s">
        <v>3</v>
      </c>
      <c r="D67" s="525">
        <v>1</v>
      </c>
      <c r="E67" s="446"/>
      <c r="F67" s="446">
        <f t="shared" si="1"/>
        <v>0</v>
      </c>
      <c r="G67" s="375"/>
      <c r="H67" s="375"/>
      <c r="I67" s="375"/>
      <c r="J67" s="375"/>
    </row>
    <row r="68" spans="1:10">
      <c r="A68" s="442" t="s">
        <v>1016</v>
      </c>
      <c r="B68" s="443" t="s">
        <v>75</v>
      </c>
      <c r="C68" s="442"/>
      <c r="D68" s="472"/>
      <c r="E68" s="445"/>
      <c r="F68" s="445"/>
      <c r="G68" s="375"/>
      <c r="H68" s="375"/>
      <c r="I68" s="375"/>
      <c r="J68" s="375"/>
    </row>
    <row r="69" spans="1:10" ht="27.6">
      <c r="A69" s="398" t="s">
        <v>1017</v>
      </c>
      <c r="B69" s="401" t="s">
        <v>80</v>
      </c>
      <c r="C69" s="401" t="s">
        <v>3</v>
      </c>
      <c r="D69" s="525">
        <v>1</v>
      </c>
      <c r="E69" s="446"/>
      <c r="F69" s="446">
        <f t="shared" si="1"/>
        <v>0</v>
      </c>
      <c r="G69" s="375"/>
      <c r="H69" s="375"/>
      <c r="I69" s="375"/>
      <c r="J69" s="375"/>
    </row>
    <row r="70" spans="1:10">
      <c r="A70" s="404" t="s">
        <v>1018</v>
      </c>
      <c r="B70" s="529" t="s">
        <v>83</v>
      </c>
      <c r="C70" s="408" t="s">
        <v>78</v>
      </c>
      <c r="D70" s="526">
        <v>2</v>
      </c>
      <c r="E70" s="446"/>
      <c r="F70" s="446">
        <f t="shared" si="1"/>
        <v>0</v>
      </c>
      <c r="G70" s="375"/>
      <c r="H70" s="375"/>
      <c r="I70" s="375"/>
      <c r="J70" s="375"/>
    </row>
    <row r="71" spans="1:10">
      <c r="A71" s="404" t="s">
        <v>1022</v>
      </c>
      <c r="B71" s="408" t="s">
        <v>77</v>
      </c>
      <c r="C71" s="408" t="s">
        <v>78</v>
      </c>
      <c r="D71" s="526">
        <v>1</v>
      </c>
      <c r="E71" s="446"/>
      <c r="F71" s="446">
        <f t="shared" si="1"/>
        <v>0</v>
      </c>
      <c r="G71" s="375"/>
      <c r="H71" s="375"/>
      <c r="I71" s="375"/>
      <c r="J71" s="375"/>
    </row>
    <row r="72" spans="1:10">
      <c r="A72" s="442" t="s">
        <v>929</v>
      </c>
      <c r="B72" s="443" t="s">
        <v>756</v>
      </c>
      <c r="C72" s="442"/>
      <c r="D72" s="472"/>
      <c r="E72" s="445"/>
      <c r="F72" s="445"/>
      <c r="G72" s="375"/>
      <c r="H72" s="375"/>
      <c r="I72" s="375"/>
      <c r="J72" s="375"/>
    </row>
    <row r="73" spans="1:10">
      <c r="A73" s="403" t="s">
        <v>930</v>
      </c>
      <c r="B73" s="401" t="s">
        <v>758</v>
      </c>
      <c r="C73" s="401" t="s">
        <v>759</v>
      </c>
      <c r="D73" s="525">
        <v>0.4</v>
      </c>
      <c r="E73" s="446"/>
      <c r="F73" s="446">
        <f t="shared" si="1"/>
        <v>0</v>
      </c>
      <c r="G73" s="375"/>
      <c r="H73" s="375"/>
      <c r="I73" s="375"/>
      <c r="J73" s="375"/>
    </row>
    <row r="74" spans="1:10">
      <c r="A74" s="558"/>
      <c r="B74" s="512" t="s">
        <v>1187</v>
      </c>
      <c r="C74" s="513"/>
      <c r="D74" s="514"/>
      <c r="E74" s="515"/>
      <c r="F74" s="516">
        <f>SUM(F52:F73)</f>
        <v>0</v>
      </c>
      <c r="G74" s="375"/>
      <c r="H74" s="375"/>
      <c r="I74" s="375"/>
      <c r="J74" s="375"/>
    </row>
    <row r="75" spans="1:10">
      <c r="A75" s="558"/>
      <c r="B75" s="512" t="s">
        <v>1192</v>
      </c>
      <c r="C75" s="513"/>
      <c r="D75" s="514"/>
      <c r="E75" s="515"/>
      <c r="F75" s="516">
        <f>+F74+F45</f>
        <v>0</v>
      </c>
      <c r="G75" s="375"/>
      <c r="H75" s="375"/>
      <c r="I75" s="375"/>
      <c r="J75" s="375"/>
    </row>
    <row r="76" spans="1:10">
      <c r="A76" s="390"/>
      <c r="B76" s="390"/>
      <c r="C76" s="390"/>
      <c r="D76" s="502"/>
      <c r="E76" s="506"/>
      <c r="F76" s="506"/>
      <c r="G76" s="375"/>
      <c r="H76" s="375"/>
      <c r="I76" s="375"/>
      <c r="J76" s="375"/>
    </row>
    <row r="77" spans="1:10">
      <c r="A77" s="498" t="s">
        <v>1202</v>
      </c>
      <c r="B77" s="498"/>
      <c r="C77" s="499"/>
      <c r="D77" s="500"/>
      <c r="E77" s="501"/>
      <c r="F77" s="501"/>
      <c r="G77" s="375"/>
      <c r="H77" s="375"/>
      <c r="I77" s="375"/>
      <c r="J77" s="375"/>
    </row>
    <row r="78" spans="1:10">
      <c r="A78" s="390"/>
      <c r="B78" s="395"/>
      <c r="C78" s="390"/>
      <c r="D78" s="502"/>
      <c r="E78" s="506"/>
      <c r="F78" s="506"/>
      <c r="G78" s="375"/>
      <c r="H78" s="375"/>
      <c r="I78" s="375"/>
      <c r="J78" s="375"/>
    </row>
    <row r="79" spans="1:10">
      <c r="A79" s="438" t="s">
        <v>0</v>
      </c>
      <c r="B79" s="439" t="s">
        <v>1203</v>
      </c>
      <c r="C79" s="438" t="s">
        <v>3</v>
      </c>
      <c r="D79" s="441" t="s">
        <v>839</v>
      </c>
      <c r="E79" s="441" t="s">
        <v>1097</v>
      </c>
      <c r="F79" s="441" t="s">
        <v>1199</v>
      </c>
      <c r="G79" s="375"/>
      <c r="H79" s="375"/>
      <c r="I79" s="375"/>
      <c r="J79" s="375"/>
    </row>
    <row r="80" spans="1:10">
      <c r="A80" s="442" t="s">
        <v>1034</v>
      </c>
      <c r="B80" s="443" t="s">
        <v>1204</v>
      </c>
      <c r="C80" s="442"/>
      <c r="D80" s="472"/>
      <c r="E80" s="445"/>
      <c r="F80" s="445"/>
      <c r="G80" s="375"/>
      <c r="H80" s="375"/>
      <c r="I80" s="375"/>
      <c r="J80" s="375"/>
    </row>
    <row r="81" spans="1:10">
      <c r="A81" s="415" t="s">
        <v>1035</v>
      </c>
      <c r="B81" s="399" t="s">
        <v>1205</v>
      </c>
      <c r="C81" s="401" t="s">
        <v>67</v>
      </c>
      <c r="D81" s="526">
        <v>12</v>
      </c>
      <c r="E81" s="446"/>
      <c r="F81" s="446">
        <f>+E81*D81</f>
        <v>0</v>
      </c>
      <c r="G81" s="375"/>
      <c r="H81" s="375"/>
      <c r="I81" s="375"/>
      <c r="J81" s="375"/>
    </row>
    <row r="82" spans="1:10">
      <c r="A82" s="415" t="s">
        <v>1036</v>
      </c>
      <c r="B82" s="399" t="s">
        <v>1206</v>
      </c>
      <c r="C82" s="401" t="s">
        <v>67</v>
      </c>
      <c r="D82" s="526">
        <v>3</v>
      </c>
      <c r="E82" s="446"/>
      <c r="F82" s="446">
        <f t="shared" ref="F82:F99" si="2">+E82*D82</f>
        <v>0</v>
      </c>
      <c r="G82" s="375"/>
      <c r="H82" s="375"/>
      <c r="I82" s="375"/>
      <c r="J82" s="375"/>
    </row>
    <row r="83" spans="1:10">
      <c r="A83" s="415" t="s">
        <v>837</v>
      </c>
      <c r="B83" s="399" t="s">
        <v>1207</v>
      </c>
      <c r="C83" s="401" t="s">
        <v>67</v>
      </c>
      <c r="D83" s="526">
        <v>12</v>
      </c>
      <c r="E83" s="446"/>
      <c r="F83" s="446">
        <f t="shared" si="2"/>
        <v>0</v>
      </c>
      <c r="G83" s="375"/>
      <c r="H83" s="375"/>
      <c r="I83" s="375"/>
      <c r="J83" s="375"/>
    </row>
    <row r="84" spans="1:10">
      <c r="A84" s="442" t="s">
        <v>899</v>
      </c>
      <c r="B84" s="443" t="s">
        <v>1208</v>
      </c>
      <c r="C84" s="442"/>
      <c r="D84" s="472"/>
      <c r="E84" s="445"/>
      <c r="F84" s="445"/>
      <c r="G84" s="375"/>
      <c r="H84" s="375"/>
      <c r="I84" s="375"/>
      <c r="J84" s="375"/>
    </row>
    <row r="85" spans="1:10">
      <c r="A85" s="398" t="s">
        <v>900</v>
      </c>
      <c r="B85" s="401" t="s">
        <v>325</v>
      </c>
      <c r="C85" s="401" t="s">
        <v>326</v>
      </c>
      <c r="D85" s="525">
        <v>3</v>
      </c>
      <c r="E85" s="446"/>
      <c r="F85" s="446">
        <f t="shared" si="2"/>
        <v>0</v>
      </c>
      <c r="G85" s="375"/>
      <c r="H85" s="375"/>
      <c r="I85" s="375"/>
      <c r="J85" s="375"/>
    </row>
    <row r="86" spans="1:10">
      <c r="A86" s="398" t="s">
        <v>902</v>
      </c>
      <c r="B86" s="401" t="s">
        <v>328</v>
      </c>
      <c r="C86" s="401" t="s">
        <v>326</v>
      </c>
      <c r="D86" s="525">
        <v>27</v>
      </c>
      <c r="E86" s="446"/>
      <c r="F86" s="446">
        <f t="shared" si="2"/>
        <v>0</v>
      </c>
      <c r="G86" s="375"/>
      <c r="H86" s="375"/>
      <c r="I86" s="375"/>
      <c r="J86" s="375"/>
    </row>
    <row r="87" spans="1:10">
      <c r="A87" s="442" t="s">
        <v>1037</v>
      </c>
      <c r="B87" s="443" t="s">
        <v>14</v>
      </c>
      <c r="C87" s="442"/>
      <c r="D87" s="472"/>
      <c r="E87" s="445"/>
      <c r="F87" s="445"/>
      <c r="G87" s="375"/>
      <c r="H87" s="375"/>
      <c r="I87" s="375"/>
      <c r="J87" s="375"/>
    </row>
    <row r="88" spans="1:10">
      <c r="A88" s="415" t="s">
        <v>1038</v>
      </c>
      <c r="B88" s="401" t="s">
        <v>1039</v>
      </c>
      <c r="C88" s="401" t="s">
        <v>326</v>
      </c>
      <c r="D88" s="525">
        <v>2</v>
      </c>
      <c r="E88" s="446"/>
      <c r="F88" s="446">
        <f t="shared" si="2"/>
        <v>0</v>
      </c>
      <c r="G88" s="375"/>
      <c r="H88" s="375"/>
      <c r="I88" s="375"/>
      <c r="J88" s="375"/>
    </row>
    <row r="89" spans="1:10">
      <c r="A89" s="415" t="s">
        <v>1040</v>
      </c>
      <c r="B89" s="401" t="s">
        <v>526</v>
      </c>
      <c r="C89" s="401" t="s">
        <v>326</v>
      </c>
      <c r="D89" s="525">
        <v>1</v>
      </c>
      <c r="E89" s="446"/>
      <c r="F89" s="446">
        <f t="shared" si="2"/>
        <v>0</v>
      </c>
      <c r="G89" s="375"/>
      <c r="H89" s="375"/>
      <c r="I89" s="375"/>
      <c r="J89" s="375"/>
    </row>
    <row r="90" spans="1:10">
      <c r="A90" s="415" t="s">
        <v>1041</v>
      </c>
      <c r="B90" s="401" t="s">
        <v>529</v>
      </c>
      <c r="C90" s="401" t="s">
        <v>326</v>
      </c>
      <c r="D90" s="525">
        <v>1</v>
      </c>
      <c r="E90" s="446"/>
      <c r="F90" s="446">
        <f t="shared" si="2"/>
        <v>0</v>
      </c>
      <c r="G90" s="375"/>
      <c r="H90" s="375"/>
      <c r="I90" s="375"/>
      <c r="J90" s="375"/>
    </row>
    <row r="91" spans="1:10">
      <c r="A91" s="415" t="s">
        <v>1042</v>
      </c>
      <c r="B91" s="401" t="s">
        <v>608</v>
      </c>
      <c r="C91" s="401" t="s">
        <v>326</v>
      </c>
      <c r="D91" s="525">
        <v>4</v>
      </c>
      <c r="E91" s="446"/>
      <c r="F91" s="446">
        <f t="shared" si="2"/>
        <v>0</v>
      </c>
      <c r="G91" s="375"/>
      <c r="H91" s="375"/>
      <c r="I91" s="375"/>
      <c r="J91" s="375"/>
    </row>
    <row r="92" spans="1:10">
      <c r="A92" s="415" t="s">
        <v>1043</v>
      </c>
      <c r="B92" s="401" t="s">
        <v>582</v>
      </c>
      <c r="C92" s="401" t="s">
        <v>326</v>
      </c>
      <c r="D92" s="525">
        <v>4</v>
      </c>
      <c r="E92" s="446"/>
      <c r="F92" s="446">
        <f t="shared" si="2"/>
        <v>0</v>
      </c>
      <c r="G92" s="375"/>
      <c r="H92" s="375"/>
      <c r="I92" s="375"/>
      <c r="J92" s="375"/>
    </row>
    <row r="93" spans="1:10">
      <c r="A93" s="415" t="s">
        <v>1044</v>
      </c>
      <c r="B93" s="401" t="s">
        <v>595</v>
      </c>
      <c r="C93" s="401" t="s">
        <v>326</v>
      </c>
      <c r="D93" s="525">
        <v>2</v>
      </c>
      <c r="E93" s="446"/>
      <c r="F93" s="446">
        <f t="shared" si="2"/>
        <v>0</v>
      </c>
      <c r="G93" s="375"/>
      <c r="H93" s="375"/>
      <c r="I93" s="375"/>
      <c r="J93" s="375"/>
    </row>
    <row r="94" spans="1:10">
      <c r="A94" s="415" t="s">
        <v>1045</v>
      </c>
      <c r="B94" s="401" t="s">
        <v>590</v>
      </c>
      <c r="C94" s="401" t="s">
        <v>326</v>
      </c>
      <c r="D94" s="525">
        <v>4</v>
      </c>
      <c r="E94" s="446"/>
      <c r="F94" s="446">
        <f t="shared" si="2"/>
        <v>0</v>
      </c>
      <c r="G94" s="375"/>
      <c r="H94" s="375"/>
      <c r="I94" s="375"/>
      <c r="J94" s="375"/>
    </row>
    <row r="95" spans="1:10">
      <c r="A95" s="415" t="s">
        <v>1046</v>
      </c>
      <c r="B95" s="401" t="s">
        <v>506</v>
      </c>
      <c r="C95" s="401" t="s">
        <v>326</v>
      </c>
      <c r="D95" s="525">
        <v>1</v>
      </c>
      <c r="E95" s="446"/>
      <c r="F95" s="446">
        <f t="shared" si="2"/>
        <v>0</v>
      </c>
      <c r="G95" s="375"/>
      <c r="H95" s="375"/>
      <c r="I95" s="375"/>
      <c r="J95" s="375"/>
    </row>
    <row r="96" spans="1:10">
      <c r="A96" s="415" t="s">
        <v>570</v>
      </c>
      <c r="B96" s="401" t="s">
        <v>571</v>
      </c>
      <c r="C96" s="401" t="s">
        <v>326</v>
      </c>
      <c r="D96" s="525">
        <v>1</v>
      </c>
      <c r="E96" s="446"/>
      <c r="F96" s="446">
        <f t="shared" si="2"/>
        <v>0</v>
      </c>
      <c r="G96" s="375"/>
      <c r="H96" s="375"/>
      <c r="I96" s="375"/>
      <c r="J96" s="375"/>
    </row>
    <row r="97" spans="1:10">
      <c r="A97" s="415" t="s">
        <v>1047</v>
      </c>
      <c r="B97" s="401" t="s">
        <v>553</v>
      </c>
      <c r="C97" s="401" t="s">
        <v>326</v>
      </c>
      <c r="D97" s="525">
        <v>1</v>
      </c>
      <c r="E97" s="446"/>
      <c r="F97" s="446">
        <f t="shared" si="2"/>
        <v>0</v>
      </c>
      <c r="G97" s="375"/>
      <c r="H97" s="375"/>
      <c r="I97" s="375"/>
      <c r="J97" s="375"/>
    </row>
    <row r="98" spans="1:10">
      <c r="A98" s="442" t="s">
        <v>1049</v>
      </c>
      <c r="B98" s="443" t="s">
        <v>683</v>
      </c>
      <c r="C98" s="442"/>
      <c r="D98" s="472"/>
      <c r="E98" s="445"/>
      <c r="F98" s="445"/>
      <c r="G98" s="375"/>
      <c r="H98" s="375"/>
      <c r="I98" s="375"/>
      <c r="J98" s="375"/>
    </row>
    <row r="99" spans="1:10">
      <c r="A99" s="398" t="s">
        <v>1054</v>
      </c>
      <c r="B99" s="401" t="s">
        <v>685</v>
      </c>
      <c r="C99" s="401" t="s">
        <v>326</v>
      </c>
      <c r="D99" s="525">
        <v>1</v>
      </c>
      <c r="E99" s="446"/>
      <c r="F99" s="446">
        <f t="shared" si="2"/>
        <v>0</v>
      </c>
      <c r="G99" s="375"/>
      <c r="H99" s="375"/>
      <c r="I99" s="375"/>
      <c r="J99" s="375"/>
    </row>
    <row r="100" spans="1:10">
      <c r="A100" s="558"/>
      <c r="B100" s="512" t="s">
        <v>1209</v>
      </c>
      <c r="C100" s="513"/>
      <c r="D100" s="514"/>
      <c r="E100" s="515"/>
      <c r="F100" s="516">
        <f>SUM(F81:F99)</f>
        <v>0</v>
      </c>
      <c r="G100" s="375"/>
      <c r="H100" s="375"/>
      <c r="I100" s="375"/>
      <c r="J100" s="375"/>
    </row>
    <row r="101" spans="1:10">
      <c r="A101" s="504"/>
      <c r="B101" s="504"/>
      <c r="C101" s="504"/>
      <c r="D101" s="523"/>
      <c r="E101" s="506"/>
      <c r="F101" s="506"/>
      <c r="G101" s="375"/>
      <c r="H101" s="375"/>
      <c r="I101" s="375"/>
      <c r="J101" s="375"/>
    </row>
    <row r="102" spans="1:10">
      <c r="A102" s="498" t="s">
        <v>1210</v>
      </c>
      <c r="B102" s="498"/>
      <c r="C102" s="499"/>
      <c r="D102" s="500"/>
      <c r="E102" s="501"/>
      <c r="F102" s="501"/>
      <c r="G102" s="375"/>
      <c r="H102" s="375"/>
      <c r="I102" s="375"/>
      <c r="J102" s="375"/>
    </row>
    <row r="103" spans="1:10">
      <c r="A103" s="390"/>
      <c r="B103" s="390"/>
      <c r="C103" s="390"/>
      <c r="D103" s="502"/>
      <c r="E103" s="506"/>
      <c r="F103" s="506"/>
      <c r="G103" s="375"/>
      <c r="H103" s="375"/>
      <c r="I103" s="375"/>
      <c r="J103" s="375"/>
    </row>
    <row r="104" spans="1:10">
      <c r="A104" s="438" t="s">
        <v>0</v>
      </c>
      <c r="B104" s="439" t="s">
        <v>967</v>
      </c>
      <c r="C104" s="438" t="s">
        <v>3</v>
      </c>
      <c r="D104" s="441" t="s">
        <v>839</v>
      </c>
      <c r="E104" s="441" t="s">
        <v>1097</v>
      </c>
      <c r="F104" s="441" t="s">
        <v>1199</v>
      </c>
      <c r="G104" s="375"/>
      <c r="H104" s="375"/>
      <c r="I104" s="375"/>
      <c r="J104" s="375"/>
    </row>
    <row r="105" spans="1:10">
      <c r="A105" s="442" t="s">
        <v>773</v>
      </c>
      <c r="B105" s="443" t="s">
        <v>774</v>
      </c>
      <c r="C105" s="442"/>
      <c r="D105" s="472"/>
      <c r="E105" s="445"/>
      <c r="F105" s="445"/>
      <c r="G105" s="375"/>
      <c r="H105" s="375"/>
      <c r="I105" s="375"/>
      <c r="J105" s="375"/>
    </row>
    <row r="106" spans="1:10">
      <c r="A106" s="415" t="s">
        <v>785</v>
      </c>
      <c r="B106" s="401" t="s">
        <v>779</v>
      </c>
      <c r="C106" s="401" t="s">
        <v>123</v>
      </c>
      <c r="D106" s="525">
        <v>1</v>
      </c>
      <c r="E106" s="446"/>
      <c r="F106" s="446">
        <f>+E106*D106</f>
        <v>0</v>
      </c>
      <c r="G106" s="375"/>
      <c r="H106" s="375"/>
      <c r="I106" s="375"/>
      <c r="J106" s="375"/>
    </row>
    <row r="107" spans="1:10">
      <c r="A107" s="415" t="s">
        <v>778</v>
      </c>
      <c r="B107" s="401" t="s">
        <v>782</v>
      </c>
      <c r="C107" s="401" t="s">
        <v>783</v>
      </c>
      <c r="D107" s="525">
        <v>2</v>
      </c>
      <c r="E107" s="446"/>
      <c r="F107" s="446">
        <f t="shared" ref="F107:F114" si="3">+E107*D107</f>
        <v>0</v>
      </c>
      <c r="G107" s="375"/>
      <c r="H107" s="375"/>
      <c r="I107" s="375"/>
      <c r="J107" s="375"/>
    </row>
    <row r="108" spans="1:10">
      <c r="A108" s="415" t="s">
        <v>784</v>
      </c>
      <c r="B108" s="401" t="s">
        <v>787</v>
      </c>
      <c r="C108" s="401" t="s">
        <v>783</v>
      </c>
      <c r="D108" s="525">
        <v>3.5</v>
      </c>
      <c r="E108" s="446"/>
      <c r="F108" s="446">
        <f t="shared" si="3"/>
        <v>0</v>
      </c>
      <c r="G108" s="375"/>
      <c r="H108" s="375"/>
      <c r="I108" s="375"/>
      <c r="J108" s="375"/>
    </row>
    <row r="109" spans="1:10">
      <c r="A109" s="415" t="s">
        <v>788</v>
      </c>
      <c r="B109" s="401" t="s">
        <v>790</v>
      </c>
      <c r="C109" s="401" t="s">
        <v>783</v>
      </c>
      <c r="D109" s="525">
        <v>4</v>
      </c>
      <c r="E109" s="446"/>
      <c r="F109" s="446">
        <f t="shared" si="3"/>
        <v>0</v>
      </c>
      <c r="G109" s="375"/>
      <c r="H109" s="375"/>
      <c r="I109" s="375"/>
      <c r="J109" s="375"/>
    </row>
    <row r="110" spans="1:10">
      <c r="A110" s="415" t="s">
        <v>791</v>
      </c>
      <c r="B110" s="401" t="s">
        <v>795</v>
      </c>
      <c r="C110" s="401" t="s">
        <v>794</v>
      </c>
      <c r="D110" s="525">
        <v>2.5</v>
      </c>
      <c r="E110" s="446"/>
      <c r="F110" s="446">
        <f t="shared" si="3"/>
        <v>0</v>
      </c>
      <c r="G110" s="375"/>
      <c r="H110" s="375"/>
      <c r="I110" s="375"/>
      <c r="J110" s="375"/>
    </row>
    <row r="111" spans="1:10">
      <c r="A111" s="415" t="s">
        <v>796</v>
      </c>
      <c r="B111" s="401" t="s">
        <v>798</v>
      </c>
      <c r="C111" s="401" t="s">
        <v>85</v>
      </c>
      <c r="D111" s="525">
        <v>1</v>
      </c>
      <c r="E111" s="446"/>
      <c r="F111" s="446">
        <f t="shared" si="3"/>
        <v>0</v>
      </c>
      <c r="G111" s="375"/>
      <c r="H111" s="375"/>
      <c r="I111" s="375"/>
      <c r="J111" s="375"/>
    </row>
    <row r="112" spans="1:10">
      <c r="A112" s="415" t="s">
        <v>799</v>
      </c>
      <c r="B112" s="401" t="s">
        <v>800</v>
      </c>
      <c r="C112" s="401" t="s">
        <v>794</v>
      </c>
      <c r="D112" s="525">
        <v>35</v>
      </c>
      <c r="E112" s="446"/>
      <c r="F112" s="446">
        <f t="shared" si="3"/>
        <v>0</v>
      </c>
      <c r="G112" s="375"/>
      <c r="H112" s="375"/>
      <c r="I112" s="375"/>
      <c r="J112" s="375"/>
    </row>
    <row r="113" spans="1:12">
      <c r="A113" s="415" t="s">
        <v>801</v>
      </c>
      <c r="B113" s="401" t="s">
        <v>804</v>
      </c>
      <c r="C113" s="401" t="s">
        <v>67</v>
      </c>
      <c r="D113" s="525">
        <v>12</v>
      </c>
      <c r="E113" s="446"/>
      <c r="F113" s="446">
        <f t="shared" si="3"/>
        <v>0</v>
      </c>
      <c r="G113" s="375"/>
      <c r="H113" s="375"/>
      <c r="I113" s="375"/>
      <c r="J113" s="375"/>
    </row>
    <row r="114" spans="1:12">
      <c r="A114" s="415" t="s">
        <v>808</v>
      </c>
      <c r="B114" s="401" t="s">
        <v>809</v>
      </c>
      <c r="C114" s="401" t="s">
        <v>85</v>
      </c>
      <c r="D114" s="525">
        <v>4</v>
      </c>
      <c r="E114" s="446"/>
      <c r="F114" s="446">
        <f t="shared" si="3"/>
        <v>0</v>
      </c>
      <c r="G114" s="375"/>
      <c r="H114" s="375"/>
      <c r="I114" s="375"/>
      <c r="J114" s="375"/>
    </row>
    <row r="115" spans="1:12">
      <c r="A115" s="558"/>
      <c r="B115" s="512" t="s">
        <v>1187</v>
      </c>
      <c r="C115" s="513"/>
      <c r="D115" s="514"/>
      <c r="E115" s="515"/>
      <c r="F115" s="516">
        <f>SUM(F106:F114)</f>
        <v>0</v>
      </c>
      <c r="G115" s="375"/>
      <c r="H115" s="375"/>
      <c r="I115" s="375"/>
      <c r="J115" s="375"/>
    </row>
    <row r="116" spans="1:12">
      <c r="A116" s="558"/>
      <c r="B116" s="512" t="s">
        <v>1192</v>
      </c>
      <c r="C116" s="513"/>
      <c r="D116" s="514"/>
      <c r="E116" s="515"/>
      <c r="F116" s="516">
        <f>+F115+F100</f>
        <v>0</v>
      </c>
      <c r="G116" s="375"/>
      <c r="H116" s="375"/>
      <c r="I116" s="375"/>
      <c r="J116" s="375"/>
    </row>
    <row r="117" spans="1:12">
      <c r="A117" s="390"/>
      <c r="B117" s="390"/>
      <c r="C117" s="390"/>
      <c r="D117" s="502"/>
      <c r="E117" s="506"/>
      <c r="F117" s="506"/>
      <c r="G117" s="375"/>
      <c r="H117" s="375"/>
      <c r="I117" s="375"/>
      <c r="J117" s="375"/>
    </row>
    <row r="118" spans="1:12">
      <c r="A118" s="498" t="s">
        <v>1211</v>
      </c>
      <c r="B118" s="498"/>
      <c r="C118" s="499"/>
      <c r="D118" s="500"/>
      <c r="E118" s="501"/>
      <c r="F118" s="501"/>
      <c r="G118" s="375"/>
      <c r="H118" s="375"/>
      <c r="I118" s="375"/>
      <c r="J118" s="375"/>
      <c r="K118" s="375"/>
      <c r="L118" s="375"/>
    </row>
    <row r="119" spans="1:12">
      <c r="A119" s="390"/>
      <c r="B119" s="390"/>
      <c r="C119" s="390"/>
      <c r="D119" s="502"/>
      <c r="E119" s="506"/>
      <c r="F119" s="506"/>
      <c r="G119" s="375"/>
      <c r="H119" s="375"/>
      <c r="I119" s="375"/>
      <c r="J119" s="375"/>
      <c r="K119" s="375"/>
      <c r="L119" s="375"/>
    </row>
    <row r="120" spans="1:12">
      <c r="A120" s="438" t="s">
        <v>0</v>
      </c>
      <c r="B120" s="439" t="s">
        <v>1155</v>
      </c>
      <c r="C120" s="438" t="s">
        <v>3</v>
      </c>
      <c r="D120" s="441" t="s">
        <v>839</v>
      </c>
      <c r="E120" s="441" t="s">
        <v>1097</v>
      </c>
      <c r="F120" s="441" t="s">
        <v>1199</v>
      </c>
      <c r="G120" s="375"/>
      <c r="H120" s="375"/>
      <c r="I120" s="375"/>
      <c r="J120" s="375"/>
      <c r="K120" s="375"/>
      <c r="L120" s="375"/>
    </row>
    <row r="121" spans="1:12">
      <c r="A121" s="442" t="s">
        <v>931</v>
      </c>
      <c r="B121" s="443" t="s">
        <v>206</v>
      </c>
      <c r="C121" s="442"/>
      <c r="D121" s="472"/>
      <c r="E121" s="445"/>
      <c r="F121" s="445"/>
      <c r="G121" s="375"/>
      <c r="H121" s="375"/>
      <c r="I121" s="375"/>
      <c r="J121" s="375"/>
      <c r="K121" s="375"/>
      <c r="L121" s="375"/>
    </row>
    <row r="122" spans="1:12">
      <c r="A122" s="442" t="s">
        <v>932</v>
      </c>
      <c r="B122" s="443" t="s">
        <v>208</v>
      </c>
      <c r="C122" s="442"/>
      <c r="D122" s="472"/>
      <c r="E122" s="445"/>
      <c r="F122" s="445"/>
      <c r="G122" s="375"/>
      <c r="H122" s="375"/>
      <c r="I122" s="375"/>
      <c r="J122" s="375"/>
    </row>
    <row r="123" spans="1:12">
      <c r="A123" s="406" t="s">
        <v>207</v>
      </c>
      <c r="B123" s="401" t="s">
        <v>217</v>
      </c>
      <c r="C123" s="399" t="s">
        <v>175</v>
      </c>
      <c r="D123" s="400">
        <v>1</v>
      </c>
      <c r="E123" s="446"/>
      <c r="F123" s="446">
        <f>+E123*D123</f>
        <v>0</v>
      </c>
      <c r="G123" s="375"/>
      <c r="H123" s="375"/>
      <c r="I123" s="375"/>
      <c r="J123" s="375"/>
    </row>
    <row r="124" spans="1:12">
      <c r="A124" s="442" t="s">
        <v>933</v>
      </c>
      <c r="B124" s="443" t="s">
        <v>220</v>
      </c>
      <c r="C124" s="442"/>
      <c r="D124" s="472"/>
      <c r="E124" s="445"/>
      <c r="F124" s="445"/>
      <c r="G124" s="375"/>
      <c r="H124" s="375"/>
      <c r="I124" s="375"/>
      <c r="J124" s="375"/>
    </row>
    <row r="125" spans="1:12">
      <c r="A125" s="406" t="s">
        <v>934</v>
      </c>
      <c r="B125" s="401" t="s">
        <v>223</v>
      </c>
      <c r="C125" s="399" t="s">
        <v>224</v>
      </c>
      <c r="D125" s="400">
        <v>4</v>
      </c>
      <c r="E125" s="446"/>
      <c r="F125" s="446">
        <f t="shared" ref="F125:F143" si="4">+E125*D125</f>
        <v>0</v>
      </c>
      <c r="G125" s="375"/>
      <c r="H125" s="375"/>
      <c r="I125" s="375"/>
      <c r="J125" s="375"/>
    </row>
    <row r="126" spans="1:12">
      <c r="A126" s="406" t="s">
        <v>936</v>
      </c>
      <c r="B126" s="401" t="s">
        <v>229</v>
      </c>
      <c r="C126" s="399" t="s">
        <v>224</v>
      </c>
      <c r="D126" s="400">
        <v>1</v>
      </c>
      <c r="E126" s="446"/>
      <c r="F126" s="446">
        <f t="shared" si="4"/>
        <v>0</v>
      </c>
      <c r="G126" s="375"/>
      <c r="H126" s="375"/>
      <c r="I126" s="375"/>
      <c r="J126" s="375"/>
    </row>
    <row r="127" spans="1:12">
      <c r="A127" s="406" t="s">
        <v>937</v>
      </c>
      <c r="B127" s="401" t="s">
        <v>126</v>
      </c>
      <c r="C127" s="399" t="s">
        <v>67</v>
      </c>
      <c r="D127" s="400">
        <v>500</v>
      </c>
      <c r="E127" s="446"/>
      <c r="F127" s="446">
        <f t="shared" si="4"/>
        <v>0</v>
      </c>
      <c r="G127" s="375"/>
      <c r="H127" s="375"/>
      <c r="I127" s="375"/>
      <c r="J127" s="375"/>
    </row>
    <row r="128" spans="1:12">
      <c r="A128" s="406" t="s">
        <v>938</v>
      </c>
      <c r="B128" s="401" t="s">
        <v>122</v>
      </c>
      <c r="C128" s="399" t="s">
        <v>123</v>
      </c>
      <c r="D128" s="400">
        <v>1</v>
      </c>
      <c r="E128" s="446"/>
      <c r="F128" s="446">
        <f t="shared" si="4"/>
        <v>0</v>
      </c>
      <c r="G128" s="375"/>
      <c r="H128" s="375"/>
      <c r="I128" s="375"/>
      <c r="J128" s="375"/>
    </row>
    <row r="129" spans="1:10">
      <c r="A129" s="442" t="s">
        <v>939</v>
      </c>
      <c r="B129" s="443" t="s">
        <v>152</v>
      </c>
      <c r="C129" s="442"/>
      <c r="D129" s="472"/>
      <c r="E129" s="445"/>
      <c r="F129" s="445"/>
      <c r="G129" s="375"/>
      <c r="H129" s="375"/>
      <c r="I129" s="375"/>
      <c r="J129" s="375"/>
    </row>
    <row r="130" spans="1:10">
      <c r="A130" s="406" t="s">
        <v>153</v>
      </c>
      <c r="B130" s="401" t="s">
        <v>154</v>
      </c>
      <c r="C130" s="399" t="s">
        <v>155</v>
      </c>
      <c r="D130" s="400">
        <v>1</v>
      </c>
      <c r="E130" s="446"/>
      <c r="F130" s="446">
        <f t="shared" si="4"/>
        <v>0</v>
      </c>
      <c r="G130" s="375"/>
      <c r="H130" s="375"/>
      <c r="I130" s="375"/>
      <c r="J130" s="375"/>
    </row>
    <row r="131" spans="1:10">
      <c r="A131" s="442" t="s">
        <v>940</v>
      </c>
      <c r="B131" s="443" t="s">
        <v>144</v>
      </c>
      <c r="C131" s="442"/>
      <c r="D131" s="472"/>
      <c r="E131" s="445"/>
      <c r="F131" s="445"/>
      <c r="G131" s="375"/>
      <c r="H131" s="375"/>
      <c r="I131" s="375"/>
      <c r="J131" s="375"/>
    </row>
    <row r="132" spans="1:10">
      <c r="A132" s="406" t="s">
        <v>941</v>
      </c>
      <c r="B132" s="401" t="s">
        <v>150</v>
      </c>
      <c r="C132" s="399" t="s">
        <v>175</v>
      </c>
      <c r="D132" s="400">
        <v>35</v>
      </c>
      <c r="E132" s="446"/>
      <c r="F132" s="446">
        <f t="shared" si="4"/>
        <v>0</v>
      </c>
      <c r="G132" s="375"/>
      <c r="H132" s="375"/>
      <c r="I132" s="375"/>
      <c r="J132" s="375"/>
    </row>
    <row r="133" spans="1:10">
      <c r="A133" s="406" t="s">
        <v>942</v>
      </c>
      <c r="B133" s="401" t="s">
        <v>148</v>
      </c>
      <c r="C133" s="399" t="s">
        <v>175</v>
      </c>
      <c r="D133" s="400">
        <v>17</v>
      </c>
      <c r="E133" s="446"/>
      <c r="F133" s="446">
        <f t="shared" si="4"/>
        <v>0</v>
      </c>
      <c r="G133" s="375"/>
      <c r="H133" s="375"/>
      <c r="I133" s="375"/>
      <c r="J133" s="375"/>
    </row>
    <row r="134" spans="1:10">
      <c r="A134" s="442" t="s">
        <v>943</v>
      </c>
      <c r="B134" s="443" t="s">
        <v>162</v>
      </c>
      <c r="C134" s="442"/>
      <c r="D134" s="472"/>
      <c r="E134" s="445"/>
      <c r="F134" s="445"/>
      <c r="G134" s="375"/>
      <c r="H134" s="375"/>
      <c r="I134" s="375"/>
      <c r="J134" s="375"/>
    </row>
    <row r="135" spans="1:10">
      <c r="A135" s="406" t="s">
        <v>944</v>
      </c>
      <c r="B135" s="401" t="s">
        <v>1212</v>
      </c>
      <c r="C135" s="399" t="s">
        <v>175</v>
      </c>
      <c r="D135" s="400">
        <v>36</v>
      </c>
      <c r="E135" s="446"/>
      <c r="F135" s="446">
        <f t="shared" si="4"/>
        <v>0</v>
      </c>
      <c r="G135" s="375"/>
      <c r="H135" s="375"/>
      <c r="I135" s="375"/>
      <c r="J135" s="375"/>
    </row>
    <row r="136" spans="1:10">
      <c r="A136" s="442" t="s">
        <v>946</v>
      </c>
      <c r="B136" s="443" t="s">
        <v>204</v>
      </c>
      <c r="C136" s="442"/>
      <c r="D136" s="472"/>
      <c r="E136" s="445"/>
      <c r="F136" s="445"/>
      <c r="G136" s="375"/>
      <c r="H136" s="375"/>
      <c r="I136" s="375"/>
      <c r="J136" s="375"/>
    </row>
    <row r="137" spans="1:10">
      <c r="A137" s="406" t="s">
        <v>951</v>
      </c>
      <c r="B137" s="401" t="s">
        <v>188</v>
      </c>
      <c r="C137" s="399" t="s">
        <v>175</v>
      </c>
      <c r="D137" s="400">
        <v>6</v>
      </c>
      <c r="E137" s="446"/>
      <c r="F137" s="446">
        <f t="shared" si="4"/>
        <v>0</v>
      </c>
      <c r="G137" s="375"/>
      <c r="H137" s="375"/>
      <c r="I137" s="375"/>
      <c r="J137" s="375"/>
    </row>
    <row r="138" spans="1:10">
      <c r="A138" s="406" t="s">
        <v>952</v>
      </c>
      <c r="B138" s="401" t="s">
        <v>174</v>
      </c>
      <c r="C138" s="399" t="s">
        <v>175</v>
      </c>
      <c r="D138" s="400">
        <v>6</v>
      </c>
      <c r="E138" s="446"/>
      <c r="F138" s="446">
        <f t="shared" si="4"/>
        <v>0</v>
      </c>
      <c r="G138" s="375"/>
      <c r="H138" s="375"/>
      <c r="I138" s="375"/>
      <c r="J138" s="375"/>
    </row>
    <row r="139" spans="1:10">
      <c r="A139" s="406" t="s">
        <v>953</v>
      </c>
      <c r="B139" s="401" t="s">
        <v>180</v>
      </c>
      <c r="C139" s="399" t="s">
        <v>155</v>
      </c>
      <c r="D139" s="400">
        <v>1</v>
      </c>
      <c r="E139" s="446"/>
      <c r="F139" s="446">
        <f t="shared" si="4"/>
        <v>0</v>
      </c>
      <c r="G139" s="375"/>
      <c r="H139" s="375"/>
      <c r="I139" s="375"/>
      <c r="J139" s="375"/>
    </row>
    <row r="140" spans="1:10">
      <c r="A140" s="406" t="s">
        <v>959</v>
      </c>
      <c r="B140" s="401" t="s">
        <v>193</v>
      </c>
      <c r="C140" s="399" t="s">
        <v>175</v>
      </c>
      <c r="D140" s="400">
        <v>1</v>
      </c>
      <c r="E140" s="446"/>
      <c r="F140" s="446">
        <f>+E140*D140</f>
        <v>0</v>
      </c>
      <c r="G140" s="375"/>
      <c r="H140" s="375"/>
      <c r="I140" s="375"/>
      <c r="J140" s="375"/>
    </row>
    <row r="141" spans="1:10">
      <c r="A141" s="406" t="s">
        <v>960</v>
      </c>
      <c r="B141" s="401" t="s">
        <v>196</v>
      </c>
      <c r="C141" s="399" t="s">
        <v>175</v>
      </c>
      <c r="D141" s="400">
        <v>1</v>
      </c>
      <c r="E141" s="446"/>
      <c r="F141" s="446">
        <f>+E141*D141</f>
        <v>0</v>
      </c>
      <c r="G141" s="375"/>
      <c r="H141" s="375"/>
      <c r="I141" s="375"/>
      <c r="J141" s="375"/>
    </row>
    <row r="142" spans="1:10">
      <c r="A142" s="442" t="s">
        <v>963</v>
      </c>
      <c r="B142" s="443" t="s">
        <v>157</v>
      </c>
      <c r="C142" s="442"/>
      <c r="D142" s="472"/>
      <c r="E142" s="445"/>
      <c r="F142" s="445"/>
      <c r="G142" s="375"/>
      <c r="H142" s="375"/>
      <c r="I142" s="375"/>
      <c r="J142" s="375"/>
    </row>
    <row r="143" spans="1:10">
      <c r="A143" s="406" t="s">
        <v>964</v>
      </c>
      <c r="B143" s="401" t="s">
        <v>159</v>
      </c>
      <c r="C143" s="399" t="s">
        <v>175</v>
      </c>
      <c r="D143" s="400">
        <v>1</v>
      </c>
      <c r="E143" s="446"/>
      <c r="F143" s="446">
        <f t="shared" si="4"/>
        <v>0</v>
      </c>
      <c r="G143" s="375"/>
      <c r="H143" s="375"/>
      <c r="I143" s="375"/>
      <c r="J143" s="375"/>
    </row>
    <row r="144" spans="1:10">
      <c r="A144" s="558"/>
      <c r="B144" s="512" t="s">
        <v>1157</v>
      </c>
      <c r="C144" s="513"/>
      <c r="D144" s="514"/>
      <c r="E144" s="515"/>
      <c r="F144" s="516">
        <f>SUM(F123:F143)</f>
        <v>0</v>
      </c>
      <c r="G144" s="375"/>
      <c r="H144" s="375"/>
      <c r="I144" s="375"/>
      <c r="J144" s="375"/>
    </row>
    <row r="145" spans="1:10">
      <c r="A145" s="418"/>
      <c r="B145" s="390"/>
      <c r="C145" s="390"/>
      <c r="D145" s="502"/>
      <c r="E145" s="506"/>
      <c r="F145" s="506"/>
      <c r="G145" s="375"/>
      <c r="H145" s="375"/>
      <c r="I145" s="375"/>
      <c r="J145" s="375"/>
    </row>
    <row r="146" spans="1:10">
      <c r="A146" s="503"/>
      <c r="B146" s="559" t="s">
        <v>1213</v>
      </c>
      <c r="C146" s="560"/>
      <c r="D146" s="561"/>
      <c r="E146" s="559"/>
      <c r="F146" s="516">
        <f>+F144+F116+F75</f>
        <v>0</v>
      </c>
      <c r="G146" s="375"/>
      <c r="H146" s="375"/>
      <c r="I146" s="375"/>
      <c r="J146" s="375"/>
    </row>
    <row r="147" spans="1:10">
      <c r="A147" s="503"/>
      <c r="B147" s="559" t="s">
        <v>1195</v>
      </c>
      <c r="C147" s="560"/>
      <c r="D147" s="561"/>
      <c r="E147" s="559"/>
      <c r="F147" s="516">
        <f>+F146*0.18</f>
        <v>0</v>
      </c>
      <c r="G147" s="375"/>
      <c r="H147" s="375"/>
      <c r="I147" s="375"/>
      <c r="J147" s="375"/>
    </row>
    <row r="148" spans="1:10">
      <c r="A148" s="503"/>
      <c r="B148" s="559" t="s">
        <v>1196</v>
      </c>
      <c r="C148" s="560"/>
      <c r="D148" s="561"/>
      <c r="E148" s="559"/>
      <c r="F148" s="516">
        <f>SUM(F146:F147)</f>
        <v>0</v>
      </c>
      <c r="G148" s="375"/>
      <c r="H148" s="375"/>
      <c r="I148" s="375"/>
      <c r="J148" s="375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5"/>
  <sheetViews>
    <sheetView zoomScale="85" zoomScaleNormal="85" workbookViewId="0">
      <selection activeCell="A6" sqref="A6:F6"/>
    </sheetView>
  </sheetViews>
  <sheetFormatPr defaultColWidth="11.42578125" defaultRowHeight="14.45"/>
  <cols>
    <col min="1" max="1" width="16.5703125" style="435" bestFit="1" customWidth="1"/>
    <col min="2" max="2" width="62.28515625" style="435" customWidth="1"/>
    <col min="3" max="3" width="7.85546875" style="435" customWidth="1"/>
    <col min="4" max="4" width="12.5703125" style="530" customWidth="1"/>
    <col min="5" max="5" width="15.85546875" style="437" customWidth="1"/>
    <col min="6" max="6" width="19.140625" style="437" customWidth="1"/>
  </cols>
  <sheetData>
    <row r="1" spans="1:11" ht="16.5" customHeight="1"/>
    <row r="2" spans="1:11" ht="33" customHeight="1">
      <c r="A2" s="585" t="s">
        <v>1214</v>
      </c>
      <c r="B2" s="585"/>
      <c r="C2" s="585"/>
      <c r="D2" s="585"/>
      <c r="E2" s="585"/>
      <c r="F2" s="585"/>
      <c r="G2" s="376"/>
      <c r="H2" s="376"/>
      <c r="I2" s="376"/>
      <c r="J2" s="376"/>
      <c r="K2" s="376"/>
    </row>
    <row r="3" spans="1:11">
      <c r="A3" s="392"/>
      <c r="B3" s="392"/>
      <c r="C3" s="392"/>
      <c r="D3" s="531"/>
      <c r="E3" s="573"/>
      <c r="F3" s="573"/>
      <c r="G3" s="376"/>
      <c r="H3" s="376"/>
      <c r="I3" s="376"/>
      <c r="J3" s="376"/>
      <c r="K3" s="376"/>
    </row>
    <row r="4" spans="1:11">
      <c r="A4" s="498" t="s">
        <v>1215</v>
      </c>
      <c r="B4" s="498"/>
      <c r="C4" s="499"/>
      <c r="D4" s="500"/>
      <c r="E4" s="501"/>
      <c r="F4" s="501"/>
      <c r="G4" s="375"/>
      <c r="H4" s="375"/>
      <c r="I4" s="375"/>
      <c r="J4" s="375"/>
      <c r="K4" s="375"/>
    </row>
    <row r="5" spans="1:11">
      <c r="A5" s="390"/>
      <c r="B5" s="420"/>
      <c r="C5" s="420"/>
      <c r="D5" s="532"/>
      <c r="E5" s="506"/>
      <c r="F5" s="486"/>
      <c r="G5" s="375"/>
      <c r="H5" s="375"/>
      <c r="I5" s="375"/>
      <c r="J5" s="375"/>
      <c r="K5" s="375"/>
    </row>
    <row r="6" spans="1:11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9</v>
      </c>
      <c r="F6" s="441" t="s">
        <v>1178</v>
      </c>
      <c r="G6" s="375"/>
      <c r="H6" s="375"/>
      <c r="I6" s="375"/>
      <c r="J6" s="375"/>
      <c r="K6" s="375"/>
    </row>
    <row r="7" spans="1:11">
      <c r="A7" s="442" t="s">
        <v>715</v>
      </c>
      <c r="B7" s="443" t="s">
        <v>716</v>
      </c>
      <c r="C7" s="442"/>
      <c r="D7" s="472"/>
      <c r="E7" s="445"/>
      <c r="F7" s="445" t="s">
        <v>28</v>
      </c>
      <c r="G7" s="375"/>
      <c r="H7" s="375"/>
      <c r="I7" s="375"/>
      <c r="J7" s="375"/>
      <c r="K7" s="375"/>
    </row>
    <row r="8" spans="1:11">
      <c r="A8" s="398" t="s">
        <v>717</v>
      </c>
      <c r="B8" s="399" t="s">
        <v>720</v>
      </c>
      <c r="C8" s="398" t="s">
        <v>123</v>
      </c>
      <c r="D8" s="400">
        <v>1</v>
      </c>
      <c r="E8" s="446"/>
      <c r="F8" s="446">
        <f>+E8*D8</f>
        <v>0</v>
      </c>
      <c r="G8" s="375"/>
      <c r="H8" s="375"/>
      <c r="I8" s="375"/>
      <c r="J8" s="375"/>
      <c r="K8" s="375"/>
    </row>
    <row r="9" spans="1:11">
      <c r="A9" s="442" t="s">
        <v>968</v>
      </c>
      <c r="B9" s="443" t="s">
        <v>817</v>
      </c>
      <c r="C9" s="442"/>
      <c r="D9" s="472"/>
      <c r="E9" s="445"/>
      <c r="F9" s="445"/>
      <c r="G9" s="375"/>
      <c r="H9" s="375"/>
      <c r="I9" s="375"/>
      <c r="J9" s="375"/>
      <c r="K9" s="375"/>
    </row>
    <row r="10" spans="1:11">
      <c r="A10" s="415" t="s">
        <v>971</v>
      </c>
      <c r="B10" s="401" t="s">
        <v>468</v>
      </c>
      <c r="C10" s="403" t="s">
        <v>67</v>
      </c>
      <c r="D10" s="526">
        <v>162</v>
      </c>
      <c r="E10" s="446"/>
      <c r="F10" s="446">
        <f t="shared" ref="F10:F44" si="0">+E10*D10</f>
        <v>0</v>
      </c>
      <c r="G10" s="375"/>
      <c r="H10" s="375"/>
      <c r="I10" s="375"/>
      <c r="J10" s="375"/>
      <c r="K10" s="375"/>
    </row>
    <row r="11" spans="1:11">
      <c r="A11" s="442" t="s">
        <v>974</v>
      </c>
      <c r="B11" s="443" t="s">
        <v>812</v>
      </c>
      <c r="C11" s="442"/>
      <c r="D11" s="472"/>
      <c r="E11" s="445"/>
      <c r="F11" s="445"/>
      <c r="G11" s="375"/>
      <c r="H11" s="375"/>
      <c r="I11" s="375"/>
      <c r="J11" s="375"/>
      <c r="K11" s="375"/>
    </row>
    <row r="12" spans="1:11">
      <c r="A12" s="398"/>
      <c r="B12" s="407" t="s">
        <v>25</v>
      </c>
      <c r="C12" s="402"/>
      <c r="D12" s="524"/>
      <c r="E12" s="417"/>
      <c r="F12" s="446"/>
      <c r="G12" s="375"/>
      <c r="H12" s="375"/>
      <c r="I12" s="375"/>
      <c r="J12" s="375"/>
      <c r="K12" s="375"/>
    </row>
    <row r="13" spans="1:11">
      <c r="A13" s="403" t="s">
        <v>975</v>
      </c>
      <c r="B13" s="401" t="s">
        <v>458</v>
      </c>
      <c r="C13" s="403" t="s">
        <v>67</v>
      </c>
      <c r="D13" s="525">
        <v>30</v>
      </c>
      <c r="E13" s="446"/>
      <c r="F13" s="446">
        <f t="shared" si="0"/>
        <v>0</v>
      </c>
      <c r="G13" s="375"/>
      <c r="H13" s="375"/>
      <c r="I13" s="375"/>
      <c r="J13" s="375"/>
      <c r="K13" s="375"/>
    </row>
    <row r="14" spans="1:11">
      <c r="A14" s="403" t="s">
        <v>976</v>
      </c>
      <c r="B14" s="401" t="s">
        <v>460</v>
      </c>
      <c r="C14" s="403" t="s">
        <v>67</v>
      </c>
      <c r="D14" s="525">
        <v>24</v>
      </c>
      <c r="E14" s="446"/>
      <c r="F14" s="446">
        <f t="shared" si="0"/>
        <v>0</v>
      </c>
      <c r="G14" s="375"/>
      <c r="H14" s="375"/>
      <c r="I14" s="375"/>
      <c r="J14" s="375"/>
      <c r="K14" s="375"/>
    </row>
    <row r="15" spans="1:11">
      <c r="A15" s="442" t="s">
        <v>977</v>
      </c>
      <c r="B15" s="443" t="s">
        <v>16</v>
      </c>
      <c r="C15" s="442"/>
      <c r="D15" s="472"/>
      <c r="E15" s="445"/>
      <c r="F15" s="445"/>
      <c r="G15" s="375"/>
      <c r="H15" s="375"/>
      <c r="I15" s="375"/>
      <c r="J15" s="375"/>
      <c r="K15" s="375"/>
    </row>
    <row r="16" spans="1:11">
      <c r="A16" s="442" t="s">
        <v>574</v>
      </c>
      <c r="B16" s="443" t="s">
        <v>575</v>
      </c>
      <c r="C16" s="442"/>
      <c r="D16" s="472"/>
      <c r="E16" s="445"/>
      <c r="F16" s="445"/>
      <c r="G16" s="375"/>
      <c r="H16" s="375"/>
      <c r="I16" s="375"/>
      <c r="J16" s="375"/>
      <c r="K16" s="375"/>
    </row>
    <row r="17" spans="1:11">
      <c r="A17" s="415" t="s">
        <v>586</v>
      </c>
      <c r="B17" s="401" t="s">
        <v>584</v>
      </c>
      <c r="C17" s="403" t="s">
        <v>326</v>
      </c>
      <c r="D17" s="525">
        <v>1</v>
      </c>
      <c r="E17" s="446"/>
      <c r="F17" s="446">
        <f t="shared" si="0"/>
        <v>0</v>
      </c>
      <c r="G17" s="375"/>
      <c r="H17" s="375"/>
      <c r="I17" s="375"/>
      <c r="J17" s="375"/>
      <c r="K17" s="375"/>
    </row>
    <row r="18" spans="1:11">
      <c r="A18" s="415" t="s">
        <v>579</v>
      </c>
      <c r="B18" s="401" t="s">
        <v>578</v>
      </c>
      <c r="C18" s="403" t="s">
        <v>326</v>
      </c>
      <c r="D18" s="525">
        <v>4</v>
      </c>
      <c r="E18" s="446"/>
      <c r="F18" s="446">
        <f t="shared" si="0"/>
        <v>0</v>
      </c>
      <c r="G18" s="375"/>
      <c r="H18" s="375"/>
      <c r="I18" s="375"/>
      <c r="J18" s="375"/>
      <c r="K18" s="375"/>
    </row>
    <row r="19" spans="1:11">
      <c r="A19" s="442" t="s">
        <v>1137</v>
      </c>
      <c r="B19" s="443" t="s">
        <v>599</v>
      </c>
      <c r="C19" s="442"/>
      <c r="D19" s="472"/>
      <c r="E19" s="445"/>
      <c r="F19" s="445"/>
      <c r="G19" s="375"/>
      <c r="H19" s="375"/>
      <c r="I19" s="375"/>
      <c r="J19" s="375"/>
      <c r="K19" s="375"/>
    </row>
    <row r="20" spans="1:11">
      <c r="A20" s="415" t="s">
        <v>981</v>
      </c>
      <c r="B20" s="401" t="s">
        <v>605</v>
      </c>
      <c r="C20" s="403" t="s">
        <v>326</v>
      </c>
      <c r="D20" s="525">
        <v>6</v>
      </c>
      <c r="E20" s="446"/>
      <c r="F20" s="446">
        <f t="shared" si="0"/>
        <v>0</v>
      </c>
      <c r="G20" s="375"/>
      <c r="H20" s="375"/>
      <c r="I20" s="375"/>
      <c r="J20" s="375"/>
      <c r="K20" s="375"/>
    </row>
    <row r="21" spans="1:11">
      <c r="A21" s="415" t="s">
        <v>982</v>
      </c>
      <c r="B21" s="401" t="s">
        <v>602</v>
      </c>
      <c r="C21" s="403" t="s">
        <v>326</v>
      </c>
      <c r="D21" s="525">
        <v>12</v>
      </c>
      <c r="E21" s="446"/>
      <c r="F21" s="446">
        <f t="shared" si="0"/>
        <v>0</v>
      </c>
      <c r="G21" s="375"/>
      <c r="H21" s="375"/>
      <c r="I21" s="375"/>
      <c r="J21" s="375"/>
      <c r="K21" s="375"/>
    </row>
    <row r="22" spans="1:11">
      <c r="A22" s="442" t="s">
        <v>1138</v>
      </c>
      <c r="B22" s="443" t="s">
        <v>592</v>
      </c>
      <c r="C22" s="442"/>
      <c r="D22" s="472"/>
      <c r="E22" s="445"/>
      <c r="F22" s="445"/>
      <c r="G22" s="375"/>
      <c r="H22" s="375"/>
      <c r="I22" s="375"/>
      <c r="J22" s="375"/>
      <c r="K22" s="375"/>
    </row>
    <row r="23" spans="1:11">
      <c r="A23" s="415" t="s">
        <v>1139</v>
      </c>
      <c r="B23" s="401" t="s">
        <v>595</v>
      </c>
      <c r="C23" s="403" t="s">
        <v>326</v>
      </c>
      <c r="D23" s="525">
        <v>2</v>
      </c>
      <c r="E23" s="446"/>
      <c r="F23" s="446">
        <f t="shared" si="0"/>
        <v>0</v>
      </c>
      <c r="G23" s="375"/>
      <c r="H23" s="375"/>
      <c r="I23" s="375"/>
      <c r="J23" s="375"/>
      <c r="K23" s="375"/>
    </row>
    <row r="24" spans="1:11">
      <c r="A24" s="442" t="s">
        <v>1140</v>
      </c>
      <c r="B24" s="443" t="s">
        <v>497</v>
      </c>
      <c r="C24" s="442"/>
      <c r="D24" s="472"/>
      <c r="E24" s="445"/>
      <c r="F24" s="445"/>
      <c r="G24" s="375"/>
      <c r="H24" s="375"/>
      <c r="I24" s="375"/>
      <c r="J24" s="375"/>
      <c r="K24" s="375"/>
    </row>
    <row r="25" spans="1:11">
      <c r="A25" s="442" t="s">
        <v>507</v>
      </c>
      <c r="B25" s="443" t="s">
        <v>508</v>
      </c>
      <c r="C25" s="442"/>
      <c r="D25" s="472"/>
      <c r="E25" s="445"/>
      <c r="F25" s="445"/>
      <c r="G25" s="375"/>
      <c r="H25" s="375"/>
      <c r="I25" s="375"/>
      <c r="J25" s="375"/>
      <c r="K25" s="375"/>
    </row>
    <row r="26" spans="1:11">
      <c r="A26" s="415" t="s">
        <v>510</v>
      </c>
      <c r="B26" s="401" t="s">
        <v>511</v>
      </c>
      <c r="C26" s="403" t="s">
        <v>326</v>
      </c>
      <c r="D26" s="525">
        <v>12</v>
      </c>
      <c r="E26" s="446"/>
      <c r="F26" s="446">
        <f t="shared" si="0"/>
        <v>0</v>
      </c>
      <c r="G26" s="375"/>
      <c r="H26" s="375"/>
      <c r="I26" s="375"/>
      <c r="J26" s="375"/>
      <c r="K26" s="375"/>
    </row>
    <row r="27" spans="1:11">
      <c r="A27" s="442" t="s">
        <v>983</v>
      </c>
      <c r="B27" s="443" t="s">
        <v>536</v>
      </c>
      <c r="C27" s="442"/>
      <c r="D27" s="472"/>
      <c r="E27" s="445"/>
      <c r="F27" s="445"/>
      <c r="G27" s="375"/>
      <c r="H27" s="375"/>
      <c r="I27" s="375"/>
      <c r="J27" s="375"/>
      <c r="K27" s="375"/>
    </row>
    <row r="28" spans="1:11">
      <c r="A28" s="415" t="s">
        <v>537</v>
      </c>
      <c r="B28" s="401" t="s">
        <v>538</v>
      </c>
      <c r="C28" s="403" t="s">
        <v>326</v>
      </c>
      <c r="D28" s="525">
        <v>2</v>
      </c>
      <c r="E28" s="446"/>
      <c r="F28" s="446">
        <f t="shared" si="0"/>
        <v>0</v>
      </c>
      <c r="G28" s="375"/>
      <c r="H28" s="375"/>
      <c r="I28" s="375"/>
      <c r="J28" s="375"/>
      <c r="K28" s="375"/>
    </row>
    <row r="29" spans="1:11">
      <c r="A29" s="442" t="s">
        <v>1037</v>
      </c>
      <c r="B29" s="443" t="s">
        <v>1130</v>
      </c>
      <c r="C29" s="442"/>
      <c r="D29" s="472"/>
      <c r="E29" s="445"/>
      <c r="F29" s="445"/>
      <c r="G29" s="375"/>
      <c r="H29" s="375"/>
      <c r="I29" s="375"/>
      <c r="J29" s="375"/>
      <c r="K29" s="375"/>
    </row>
    <row r="30" spans="1:11">
      <c r="A30" s="415" t="s">
        <v>1048</v>
      </c>
      <c r="B30" s="401" t="s">
        <v>503</v>
      </c>
      <c r="C30" s="403" t="s">
        <v>326</v>
      </c>
      <c r="D30" s="525">
        <v>2</v>
      </c>
      <c r="E30" s="446"/>
      <c r="F30" s="446">
        <f t="shared" si="0"/>
        <v>0</v>
      </c>
      <c r="G30" s="375"/>
      <c r="H30" s="375"/>
      <c r="I30" s="375"/>
      <c r="J30" s="375"/>
      <c r="K30" s="375"/>
    </row>
    <row r="31" spans="1:11">
      <c r="A31" s="442" t="s">
        <v>1140</v>
      </c>
      <c r="B31" s="443" t="s">
        <v>560</v>
      </c>
      <c r="C31" s="442"/>
      <c r="D31" s="472"/>
      <c r="E31" s="445"/>
      <c r="F31" s="445"/>
      <c r="G31" s="375"/>
      <c r="H31" s="375"/>
      <c r="I31" s="375"/>
      <c r="J31" s="375"/>
      <c r="K31" s="375"/>
    </row>
    <row r="32" spans="1:11">
      <c r="A32" s="535" t="s">
        <v>984</v>
      </c>
      <c r="B32" s="401" t="s">
        <v>563</v>
      </c>
      <c r="C32" s="401" t="s">
        <v>326</v>
      </c>
      <c r="D32" s="467">
        <v>4</v>
      </c>
      <c r="E32" s="446"/>
      <c r="F32" s="446">
        <f t="shared" si="0"/>
        <v>0</v>
      </c>
      <c r="G32" s="375"/>
      <c r="H32" s="375"/>
      <c r="I32" s="375"/>
      <c r="J32" s="375"/>
      <c r="K32" s="375"/>
    </row>
    <row r="33" spans="1:11">
      <c r="A33" s="442" t="s">
        <v>985</v>
      </c>
      <c r="B33" s="443" t="s">
        <v>521</v>
      </c>
      <c r="C33" s="442" t="s">
        <v>28</v>
      </c>
      <c r="D33" s="472"/>
      <c r="E33" s="445"/>
      <c r="F33" s="445"/>
      <c r="G33" s="375"/>
      <c r="H33" s="375"/>
      <c r="I33" s="375"/>
      <c r="J33" s="375"/>
      <c r="K33" s="375"/>
    </row>
    <row r="34" spans="1:11">
      <c r="A34" s="415" t="s">
        <v>986</v>
      </c>
      <c r="B34" s="401" t="s">
        <v>523</v>
      </c>
      <c r="C34" s="403" t="s">
        <v>326</v>
      </c>
      <c r="D34" s="525">
        <v>4</v>
      </c>
      <c r="E34" s="446"/>
      <c r="F34" s="446">
        <f t="shared" si="0"/>
        <v>0</v>
      </c>
      <c r="G34" s="375"/>
      <c r="H34" s="375"/>
      <c r="I34" s="375"/>
      <c r="J34" s="375"/>
      <c r="K34" s="375"/>
    </row>
    <row r="35" spans="1:11">
      <c r="A35" s="442" t="s">
        <v>987</v>
      </c>
      <c r="B35" s="443" t="s">
        <v>565</v>
      </c>
      <c r="C35" s="442"/>
      <c r="D35" s="472"/>
      <c r="E35" s="445"/>
      <c r="F35" s="445"/>
      <c r="G35" s="375"/>
      <c r="H35" s="375"/>
      <c r="I35" s="375"/>
      <c r="J35" s="375"/>
      <c r="K35" s="375"/>
    </row>
    <row r="36" spans="1:11">
      <c r="A36" s="415" t="s">
        <v>567</v>
      </c>
      <c r="B36" s="401" t="s">
        <v>568</v>
      </c>
      <c r="C36" s="403" t="s">
        <v>326</v>
      </c>
      <c r="D36" s="525">
        <v>2</v>
      </c>
      <c r="E36" s="446"/>
      <c r="F36" s="446">
        <f t="shared" si="0"/>
        <v>0</v>
      </c>
      <c r="G36" s="375"/>
      <c r="H36" s="375"/>
      <c r="I36" s="375"/>
      <c r="J36" s="375"/>
      <c r="K36" s="375"/>
    </row>
    <row r="37" spans="1:11">
      <c r="A37" s="442" t="s">
        <v>988</v>
      </c>
      <c r="B37" s="443" t="s">
        <v>549</v>
      </c>
      <c r="C37" s="442"/>
      <c r="D37" s="472"/>
      <c r="E37" s="445"/>
      <c r="F37" s="445"/>
      <c r="G37" s="375"/>
      <c r="H37" s="375"/>
      <c r="I37" s="375"/>
      <c r="J37" s="375"/>
      <c r="K37" s="375"/>
    </row>
    <row r="38" spans="1:11">
      <c r="A38" s="415" t="s">
        <v>989</v>
      </c>
      <c r="B38" s="401" t="s">
        <v>556</v>
      </c>
      <c r="C38" s="403" t="s">
        <v>326</v>
      </c>
      <c r="D38" s="525">
        <v>1</v>
      </c>
      <c r="E38" s="446"/>
      <c r="F38" s="446">
        <f t="shared" si="0"/>
        <v>0</v>
      </c>
      <c r="G38" s="375"/>
      <c r="H38" s="375"/>
      <c r="I38" s="375"/>
      <c r="J38" s="375"/>
      <c r="K38" s="375"/>
    </row>
    <row r="39" spans="1:11">
      <c r="A39" s="442" t="s">
        <v>1141</v>
      </c>
      <c r="B39" s="443" t="s">
        <v>543</v>
      </c>
      <c r="C39" s="442"/>
      <c r="D39" s="472"/>
      <c r="E39" s="445"/>
      <c r="F39" s="445"/>
      <c r="G39" s="375"/>
      <c r="H39" s="375"/>
      <c r="I39" s="375"/>
      <c r="J39" s="375"/>
      <c r="K39" s="375"/>
    </row>
    <row r="40" spans="1:11">
      <c r="A40" s="415" t="s">
        <v>1142</v>
      </c>
      <c r="B40" s="401" t="s">
        <v>546</v>
      </c>
      <c r="C40" s="403" t="s">
        <v>326</v>
      </c>
      <c r="D40" s="525">
        <v>1</v>
      </c>
      <c r="E40" s="446"/>
      <c r="F40" s="446">
        <f t="shared" si="0"/>
        <v>0</v>
      </c>
      <c r="G40" s="375"/>
      <c r="H40" s="375"/>
      <c r="I40" s="375"/>
      <c r="J40" s="375"/>
      <c r="K40" s="375"/>
    </row>
    <row r="41" spans="1:11">
      <c r="A41" s="442" t="s">
        <v>993</v>
      </c>
      <c r="B41" s="443" t="s">
        <v>513</v>
      </c>
      <c r="C41" s="442"/>
      <c r="D41" s="472"/>
      <c r="E41" s="445"/>
      <c r="F41" s="445"/>
      <c r="G41" s="375"/>
      <c r="H41" s="375"/>
      <c r="I41" s="375"/>
      <c r="J41" s="375"/>
      <c r="K41" s="375"/>
    </row>
    <row r="42" spans="1:11">
      <c r="A42" s="415" t="s">
        <v>994</v>
      </c>
      <c r="B42" s="401" t="s">
        <v>516</v>
      </c>
      <c r="C42" s="403" t="s">
        <v>326</v>
      </c>
      <c r="D42" s="525">
        <v>1</v>
      </c>
      <c r="E42" s="446"/>
      <c r="F42" s="446">
        <f t="shared" si="0"/>
        <v>0</v>
      </c>
      <c r="G42" s="375"/>
      <c r="H42" s="375"/>
      <c r="I42" s="375"/>
      <c r="J42" s="375"/>
      <c r="K42" s="375"/>
    </row>
    <row r="43" spans="1:11">
      <c r="A43" s="442" t="s">
        <v>995</v>
      </c>
      <c r="B43" s="443" t="s">
        <v>531</v>
      </c>
      <c r="C43" s="442"/>
      <c r="D43" s="472"/>
      <c r="E43" s="445"/>
      <c r="F43" s="445"/>
      <c r="G43" s="375"/>
      <c r="H43" s="375"/>
      <c r="I43" s="375"/>
      <c r="J43" s="375"/>
      <c r="K43" s="375"/>
    </row>
    <row r="44" spans="1:11">
      <c r="A44" s="415" t="s">
        <v>533</v>
      </c>
      <c r="B44" s="401" t="s">
        <v>1184</v>
      </c>
      <c r="C44" s="403" t="s">
        <v>326</v>
      </c>
      <c r="D44" s="525">
        <v>5</v>
      </c>
      <c r="E44" s="446"/>
      <c r="F44" s="446">
        <f t="shared" si="0"/>
        <v>0</v>
      </c>
      <c r="G44" s="375"/>
      <c r="H44" s="375"/>
      <c r="I44" s="375"/>
      <c r="J44" s="375"/>
      <c r="K44" s="375"/>
    </row>
    <row r="45" spans="1:11">
      <c r="A45" s="558"/>
      <c r="B45" s="512" t="s">
        <v>1143</v>
      </c>
      <c r="C45" s="513"/>
      <c r="D45" s="514"/>
      <c r="E45" s="515"/>
      <c r="F45" s="516">
        <f>SUM(F8:F44)</f>
        <v>0</v>
      </c>
      <c r="G45" s="375"/>
      <c r="H45" s="375"/>
      <c r="I45" s="375"/>
      <c r="J45" s="375"/>
      <c r="K45" s="375"/>
    </row>
    <row r="46" spans="1:11">
      <c r="A46" s="504"/>
      <c r="B46" s="419"/>
      <c r="C46" s="419"/>
      <c r="D46" s="533"/>
      <c r="E46" s="506"/>
      <c r="F46" s="486"/>
      <c r="G46" s="375"/>
      <c r="H46" s="375"/>
      <c r="I46" s="375"/>
      <c r="J46" s="375"/>
      <c r="K46" s="375"/>
    </row>
    <row r="47" spans="1:11">
      <c r="A47" s="498" t="s">
        <v>1201</v>
      </c>
      <c r="B47" s="498"/>
      <c r="C47" s="499"/>
      <c r="D47" s="500"/>
      <c r="E47" s="501"/>
      <c r="F47" s="501"/>
      <c r="G47" s="375"/>
      <c r="H47" s="375"/>
      <c r="I47" s="375"/>
      <c r="J47" s="375"/>
      <c r="K47" s="375"/>
    </row>
    <row r="48" spans="1:11">
      <c r="A48" s="390"/>
      <c r="B48" s="420"/>
      <c r="C48" s="420"/>
      <c r="D48" s="532"/>
      <c r="E48" s="506"/>
      <c r="F48" s="486"/>
      <c r="G48" s="375"/>
      <c r="H48" s="375"/>
      <c r="I48" s="375"/>
      <c r="J48" s="375"/>
      <c r="K48" s="375"/>
    </row>
    <row r="49" spans="1:11" ht="24.75" customHeight="1">
      <c r="A49" s="438" t="s">
        <v>0</v>
      </c>
      <c r="B49" s="439" t="s">
        <v>967</v>
      </c>
      <c r="C49" s="438" t="s">
        <v>3</v>
      </c>
      <c r="D49" s="441" t="s">
        <v>839</v>
      </c>
      <c r="E49" s="441" t="s">
        <v>9</v>
      </c>
      <c r="F49" s="441" t="s">
        <v>1098</v>
      </c>
      <c r="G49" s="375"/>
      <c r="H49" s="375"/>
      <c r="I49" s="375"/>
      <c r="J49" s="375"/>
      <c r="K49" s="375"/>
    </row>
    <row r="50" spans="1:11">
      <c r="A50" s="442" t="s">
        <v>692</v>
      </c>
      <c r="B50" s="443" t="s">
        <v>697</v>
      </c>
      <c r="C50" s="442"/>
      <c r="D50" s="472"/>
      <c r="E50" s="445"/>
      <c r="F50" s="445"/>
      <c r="G50" s="375"/>
      <c r="H50" s="375"/>
      <c r="I50" s="375"/>
      <c r="J50" s="375"/>
      <c r="K50" s="375"/>
    </row>
    <row r="51" spans="1:11" ht="27.6">
      <c r="A51" s="403" t="s">
        <v>998</v>
      </c>
      <c r="B51" s="401" t="s">
        <v>999</v>
      </c>
      <c r="C51" s="403" t="s">
        <v>67</v>
      </c>
      <c r="D51" s="525">
        <v>162</v>
      </c>
      <c r="E51" s="446"/>
      <c r="F51" s="446">
        <f>+E51*D51</f>
        <v>0</v>
      </c>
      <c r="G51" s="375"/>
      <c r="H51" s="375"/>
      <c r="I51" s="375"/>
      <c r="J51" s="375"/>
      <c r="K51" s="375"/>
    </row>
    <row r="52" spans="1:11">
      <c r="A52" s="442" t="s">
        <v>1000</v>
      </c>
      <c r="B52" s="443" t="s">
        <v>463</v>
      </c>
      <c r="C52" s="442"/>
      <c r="D52" s="472"/>
      <c r="E52" s="445"/>
      <c r="F52" s="445"/>
      <c r="G52" s="375"/>
      <c r="H52" s="375"/>
      <c r="I52" s="375"/>
      <c r="J52" s="375"/>
      <c r="K52" s="375"/>
    </row>
    <row r="53" spans="1:11">
      <c r="A53" s="442" t="s">
        <v>1001</v>
      </c>
      <c r="B53" s="443" t="s">
        <v>1002</v>
      </c>
      <c r="C53" s="442"/>
      <c r="D53" s="472"/>
      <c r="E53" s="445"/>
      <c r="F53" s="445"/>
      <c r="G53" s="375"/>
      <c r="H53" s="375"/>
      <c r="I53" s="375"/>
      <c r="J53" s="375"/>
      <c r="K53" s="375"/>
    </row>
    <row r="54" spans="1:11">
      <c r="A54" s="527" t="s">
        <v>1005</v>
      </c>
      <c r="B54" s="401" t="s">
        <v>468</v>
      </c>
      <c r="C54" s="403" t="s">
        <v>67</v>
      </c>
      <c r="D54" s="526">
        <v>162</v>
      </c>
      <c r="E54" s="474"/>
      <c r="F54" s="446">
        <f t="shared" ref="F54:F69" si="1">+E54*D54</f>
        <v>0</v>
      </c>
      <c r="G54" s="375"/>
      <c r="H54" s="375"/>
      <c r="I54" s="375"/>
      <c r="J54" s="375"/>
      <c r="K54" s="375"/>
    </row>
    <row r="55" spans="1:11">
      <c r="A55" s="442" t="s">
        <v>1007</v>
      </c>
      <c r="B55" s="443" t="s">
        <v>456</v>
      </c>
      <c r="C55" s="442"/>
      <c r="D55" s="472"/>
      <c r="E55" s="445"/>
      <c r="F55" s="445"/>
      <c r="G55" s="375"/>
      <c r="H55" s="375"/>
      <c r="I55" s="375"/>
      <c r="J55" s="375"/>
      <c r="K55" s="375"/>
    </row>
    <row r="56" spans="1:11">
      <c r="A56" s="403" t="s">
        <v>1008</v>
      </c>
      <c r="B56" s="401" t="s">
        <v>458</v>
      </c>
      <c r="C56" s="403" t="s">
        <v>67</v>
      </c>
      <c r="D56" s="525">
        <v>30</v>
      </c>
      <c r="E56" s="446"/>
      <c r="F56" s="446">
        <f t="shared" si="1"/>
        <v>0</v>
      </c>
      <c r="G56" s="375"/>
      <c r="H56" s="375"/>
      <c r="I56" s="375"/>
      <c r="J56" s="375"/>
      <c r="K56" s="375"/>
    </row>
    <row r="57" spans="1:11">
      <c r="A57" s="403" t="s">
        <v>1009</v>
      </c>
      <c r="B57" s="401" t="s">
        <v>460</v>
      </c>
      <c r="C57" s="403" t="s">
        <v>67</v>
      </c>
      <c r="D57" s="525">
        <v>24</v>
      </c>
      <c r="E57" s="446"/>
      <c r="F57" s="446">
        <f t="shared" si="1"/>
        <v>0</v>
      </c>
      <c r="G57" s="375"/>
      <c r="H57" s="375"/>
      <c r="I57" s="375"/>
      <c r="J57" s="375"/>
      <c r="K57" s="375"/>
    </row>
    <row r="58" spans="1:11">
      <c r="A58" s="442" t="s">
        <v>482</v>
      </c>
      <c r="B58" s="443" t="s">
        <v>483</v>
      </c>
      <c r="C58" s="442"/>
      <c r="D58" s="472"/>
      <c r="E58" s="445"/>
      <c r="F58" s="445"/>
      <c r="G58" s="375"/>
      <c r="H58" s="375"/>
      <c r="I58" s="375"/>
      <c r="J58" s="375"/>
      <c r="K58" s="375"/>
    </row>
    <row r="59" spans="1:11">
      <c r="A59" s="403" t="s">
        <v>484</v>
      </c>
      <c r="B59" s="401" t="s">
        <v>488</v>
      </c>
      <c r="C59" s="403" t="s">
        <v>3</v>
      </c>
      <c r="D59" s="525">
        <v>1</v>
      </c>
      <c r="E59" s="446"/>
      <c r="F59" s="446">
        <f t="shared" si="1"/>
        <v>0</v>
      </c>
      <c r="G59" s="375"/>
      <c r="H59" s="375"/>
      <c r="I59" s="375"/>
      <c r="J59" s="375"/>
      <c r="K59" s="375"/>
    </row>
    <row r="60" spans="1:11">
      <c r="A60" s="403" t="s">
        <v>487</v>
      </c>
      <c r="B60" s="401" t="s">
        <v>485</v>
      </c>
      <c r="C60" s="403" t="s">
        <v>3</v>
      </c>
      <c r="D60" s="525">
        <v>1</v>
      </c>
      <c r="E60" s="446"/>
      <c r="F60" s="446">
        <f t="shared" si="1"/>
        <v>0</v>
      </c>
      <c r="G60" s="375"/>
      <c r="H60" s="375"/>
      <c r="I60" s="375"/>
      <c r="J60" s="375"/>
      <c r="K60" s="375"/>
    </row>
    <row r="61" spans="1:11">
      <c r="A61" s="403" t="s">
        <v>490</v>
      </c>
      <c r="B61" s="401" t="s">
        <v>491</v>
      </c>
      <c r="C61" s="403" t="s">
        <v>3</v>
      </c>
      <c r="D61" s="525">
        <v>1</v>
      </c>
      <c r="E61" s="446"/>
      <c r="F61" s="446">
        <f t="shared" si="1"/>
        <v>0</v>
      </c>
      <c r="G61" s="375"/>
      <c r="H61" s="375"/>
      <c r="I61" s="375"/>
      <c r="J61" s="375"/>
      <c r="K61" s="375"/>
    </row>
    <row r="62" spans="1:11">
      <c r="A62" s="403" t="s">
        <v>493</v>
      </c>
      <c r="B62" s="401" t="s">
        <v>494</v>
      </c>
      <c r="C62" s="403" t="s">
        <v>3</v>
      </c>
      <c r="D62" s="525">
        <v>1</v>
      </c>
      <c r="E62" s="446"/>
      <c r="F62" s="446">
        <f t="shared" si="1"/>
        <v>0</v>
      </c>
      <c r="G62" s="375"/>
      <c r="H62" s="375"/>
      <c r="I62" s="375"/>
      <c r="J62" s="375"/>
      <c r="K62" s="375"/>
    </row>
    <row r="63" spans="1:11">
      <c r="A63" s="442" t="s">
        <v>1010</v>
      </c>
      <c r="B63" s="443" t="s">
        <v>72</v>
      </c>
      <c r="C63" s="442"/>
      <c r="D63" s="472"/>
      <c r="E63" s="445"/>
      <c r="F63" s="445"/>
      <c r="G63" s="375"/>
      <c r="H63" s="375"/>
      <c r="I63" s="375"/>
      <c r="J63" s="375"/>
      <c r="K63" s="375"/>
    </row>
    <row r="64" spans="1:11">
      <c r="A64" s="442" t="s">
        <v>1011</v>
      </c>
      <c r="B64" s="443" t="s">
        <v>101</v>
      </c>
      <c r="C64" s="442"/>
      <c r="D64" s="472"/>
      <c r="E64" s="445"/>
      <c r="F64" s="445"/>
      <c r="G64" s="375"/>
      <c r="H64" s="375"/>
      <c r="I64" s="375"/>
      <c r="J64" s="375"/>
      <c r="K64" s="375"/>
    </row>
    <row r="65" spans="1:11">
      <c r="A65" s="528" t="s">
        <v>1014</v>
      </c>
      <c r="B65" s="401" t="s">
        <v>105</v>
      </c>
      <c r="C65" s="403" t="s">
        <v>3</v>
      </c>
      <c r="D65" s="525">
        <v>1</v>
      </c>
      <c r="E65" s="446"/>
      <c r="F65" s="446">
        <f t="shared" si="1"/>
        <v>0</v>
      </c>
      <c r="G65" s="375"/>
      <c r="H65" s="375"/>
      <c r="I65" s="375"/>
      <c r="J65" s="375"/>
      <c r="K65" s="375"/>
    </row>
    <row r="66" spans="1:11">
      <c r="A66" s="442" t="s">
        <v>1016</v>
      </c>
      <c r="B66" s="443" t="s">
        <v>75</v>
      </c>
      <c r="C66" s="442"/>
      <c r="D66" s="472"/>
      <c r="E66" s="445"/>
      <c r="F66" s="445"/>
      <c r="G66" s="375"/>
      <c r="H66" s="375"/>
      <c r="I66" s="375"/>
      <c r="J66" s="375"/>
      <c r="K66" s="375"/>
    </row>
    <row r="67" spans="1:11" ht="27.6">
      <c r="A67" s="536" t="s">
        <v>1020</v>
      </c>
      <c r="B67" s="537" t="s">
        <v>95</v>
      </c>
      <c r="C67" s="538" t="s">
        <v>3</v>
      </c>
      <c r="D67" s="539">
        <v>1</v>
      </c>
      <c r="E67" s="574"/>
      <c r="F67" s="574">
        <f t="shared" si="1"/>
        <v>0</v>
      </c>
      <c r="G67" s="375"/>
      <c r="H67" s="375"/>
      <c r="I67" s="375"/>
      <c r="J67" s="375"/>
      <c r="K67" s="375"/>
    </row>
    <row r="68" spans="1:11">
      <c r="A68" s="402" t="s">
        <v>929</v>
      </c>
      <c r="B68" s="407" t="s">
        <v>756</v>
      </c>
      <c r="C68" s="403"/>
      <c r="D68" s="525"/>
      <c r="E68" s="417"/>
      <c r="F68" s="446"/>
      <c r="G68" s="375"/>
      <c r="H68" s="375"/>
      <c r="I68" s="375"/>
      <c r="J68" s="375"/>
      <c r="K68" s="375"/>
    </row>
    <row r="69" spans="1:11">
      <c r="A69" s="403" t="s">
        <v>930</v>
      </c>
      <c r="B69" s="401" t="s">
        <v>758</v>
      </c>
      <c r="C69" s="403" t="s">
        <v>759</v>
      </c>
      <c r="D69" s="525">
        <v>0.16</v>
      </c>
      <c r="E69" s="446"/>
      <c r="F69" s="446">
        <f t="shared" si="1"/>
        <v>0</v>
      </c>
      <c r="G69" s="375"/>
      <c r="H69" s="375"/>
      <c r="I69" s="375"/>
      <c r="J69" s="375"/>
      <c r="K69" s="375"/>
    </row>
    <row r="70" spans="1:11">
      <c r="A70" s="558"/>
      <c r="B70" s="512" t="s">
        <v>1187</v>
      </c>
      <c r="C70" s="513"/>
      <c r="D70" s="514"/>
      <c r="E70" s="515"/>
      <c r="F70" s="516">
        <f>SUM(F51:F69)</f>
        <v>0</v>
      </c>
      <c r="G70" s="375"/>
      <c r="H70" s="375"/>
      <c r="I70" s="375"/>
      <c r="J70" s="375"/>
      <c r="K70" s="375"/>
    </row>
    <row r="71" spans="1:11">
      <c r="A71" s="558"/>
      <c r="B71" s="512" t="s">
        <v>1150</v>
      </c>
      <c r="C71" s="513"/>
      <c r="D71" s="514"/>
      <c r="E71" s="515"/>
      <c r="F71" s="516">
        <f>+F70+F45</f>
        <v>0</v>
      </c>
      <c r="G71" s="375"/>
      <c r="H71" s="375"/>
      <c r="I71" s="375"/>
      <c r="J71" s="375"/>
      <c r="K71" s="375"/>
    </row>
    <row r="72" spans="1:11">
      <c r="A72" s="390"/>
      <c r="B72" s="420"/>
      <c r="C72" s="420"/>
      <c r="D72" s="532"/>
      <c r="E72" s="506"/>
      <c r="F72" s="486"/>
      <c r="G72" s="375"/>
      <c r="H72" s="375"/>
      <c r="I72" s="375"/>
      <c r="J72" s="375"/>
      <c r="K72" s="375"/>
    </row>
    <row r="73" spans="1:11">
      <c r="A73" s="498" t="s">
        <v>1202</v>
      </c>
      <c r="B73" s="498"/>
      <c r="C73" s="499"/>
      <c r="D73" s="500"/>
      <c r="E73" s="501"/>
      <c r="F73" s="501"/>
      <c r="G73" s="375"/>
      <c r="H73" s="375"/>
      <c r="I73" s="375"/>
      <c r="J73" s="375"/>
      <c r="K73" s="375"/>
    </row>
    <row r="74" spans="1:11">
      <c r="A74" s="390"/>
      <c r="B74" s="390"/>
      <c r="C74" s="390"/>
      <c r="D74" s="534"/>
      <c r="E74" s="506"/>
      <c r="F74" s="506"/>
      <c r="G74" s="375"/>
      <c r="H74" s="375"/>
      <c r="I74" s="375"/>
      <c r="J74" s="375"/>
      <c r="K74" s="375"/>
    </row>
    <row r="75" spans="1:11">
      <c r="A75" s="438" t="s">
        <v>0</v>
      </c>
      <c r="B75" s="439" t="s">
        <v>967</v>
      </c>
      <c r="C75" s="438" t="s">
        <v>3</v>
      </c>
      <c r="D75" s="441" t="s">
        <v>839</v>
      </c>
      <c r="E75" s="441" t="s">
        <v>9</v>
      </c>
      <c r="F75" s="441" t="s">
        <v>1098</v>
      </c>
      <c r="G75" s="375"/>
      <c r="H75" s="375"/>
      <c r="I75" s="375"/>
      <c r="J75" s="375"/>
      <c r="K75" s="375"/>
    </row>
    <row r="76" spans="1:11">
      <c r="A76" s="442" t="s">
        <v>1034</v>
      </c>
      <c r="B76" s="443" t="s">
        <v>827</v>
      </c>
      <c r="C76" s="442"/>
      <c r="D76" s="472"/>
      <c r="E76" s="445"/>
      <c r="F76" s="445"/>
      <c r="G76" s="375"/>
      <c r="H76" s="375"/>
      <c r="I76" s="375"/>
      <c r="J76" s="375"/>
      <c r="K76" s="375"/>
    </row>
    <row r="77" spans="1:11">
      <c r="A77" s="415" t="s">
        <v>1035</v>
      </c>
      <c r="B77" s="401" t="s">
        <v>831</v>
      </c>
      <c r="C77" s="403" t="s">
        <v>67</v>
      </c>
      <c r="D77" s="526">
        <v>12</v>
      </c>
      <c r="E77" s="446"/>
      <c r="F77" s="446">
        <f>+E77*D77</f>
        <v>0</v>
      </c>
      <c r="G77" s="375"/>
      <c r="H77" s="375"/>
      <c r="I77" s="375"/>
      <c r="J77" s="375"/>
      <c r="K77" s="375"/>
    </row>
    <row r="78" spans="1:11">
      <c r="A78" s="415" t="s">
        <v>1036</v>
      </c>
      <c r="B78" s="401" t="s">
        <v>834</v>
      </c>
      <c r="C78" s="403" t="s">
        <v>67</v>
      </c>
      <c r="D78" s="526">
        <v>3</v>
      </c>
      <c r="E78" s="446"/>
      <c r="F78" s="446">
        <f t="shared" ref="F78:F95" si="2">+E78*D78</f>
        <v>0</v>
      </c>
      <c r="G78" s="375"/>
      <c r="H78" s="375"/>
      <c r="I78" s="375"/>
      <c r="J78" s="375"/>
      <c r="K78" s="375"/>
    </row>
    <row r="79" spans="1:11">
      <c r="A79" s="415" t="s">
        <v>837</v>
      </c>
      <c r="B79" s="401" t="s">
        <v>836</v>
      </c>
      <c r="C79" s="403" t="s">
        <v>67</v>
      </c>
      <c r="D79" s="526">
        <v>12</v>
      </c>
      <c r="E79" s="446"/>
      <c r="F79" s="446">
        <f t="shared" si="2"/>
        <v>0</v>
      </c>
      <c r="G79" s="375"/>
      <c r="H79" s="375"/>
      <c r="I79" s="375"/>
      <c r="J79" s="375"/>
      <c r="K79" s="375"/>
    </row>
    <row r="80" spans="1:11">
      <c r="A80" s="442" t="s">
        <v>899</v>
      </c>
      <c r="B80" s="443" t="s">
        <v>323</v>
      </c>
      <c r="C80" s="442"/>
      <c r="D80" s="472"/>
      <c r="E80" s="445"/>
      <c r="F80" s="445"/>
      <c r="G80" s="375"/>
      <c r="H80" s="375"/>
      <c r="I80" s="375"/>
      <c r="J80" s="375"/>
      <c r="K80" s="375"/>
    </row>
    <row r="81" spans="1:11">
      <c r="A81" s="398" t="s">
        <v>900</v>
      </c>
      <c r="B81" s="401" t="s">
        <v>901</v>
      </c>
      <c r="C81" s="403" t="s">
        <v>326</v>
      </c>
      <c r="D81" s="525">
        <v>3</v>
      </c>
      <c r="E81" s="446"/>
      <c r="F81" s="446">
        <f t="shared" si="2"/>
        <v>0</v>
      </c>
      <c r="G81" s="375"/>
      <c r="H81" s="375"/>
      <c r="I81" s="375"/>
      <c r="J81" s="375"/>
      <c r="K81" s="375"/>
    </row>
    <row r="82" spans="1:11">
      <c r="A82" s="398" t="s">
        <v>902</v>
      </c>
      <c r="B82" s="401" t="s">
        <v>328</v>
      </c>
      <c r="C82" s="403" t="s">
        <v>326</v>
      </c>
      <c r="D82" s="525">
        <v>27</v>
      </c>
      <c r="E82" s="446"/>
      <c r="F82" s="446">
        <f t="shared" si="2"/>
        <v>0</v>
      </c>
      <c r="G82" s="375"/>
      <c r="H82" s="375"/>
      <c r="I82" s="375"/>
      <c r="J82" s="375"/>
      <c r="K82" s="375"/>
    </row>
    <row r="83" spans="1:11">
      <c r="A83" s="442" t="s">
        <v>1037</v>
      </c>
      <c r="B83" s="443" t="s">
        <v>14</v>
      </c>
      <c r="C83" s="442"/>
      <c r="D83" s="472"/>
      <c r="E83" s="445"/>
      <c r="F83" s="445"/>
      <c r="G83" s="375"/>
      <c r="H83" s="375"/>
      <c r="I83" s="375"/>
      <c r="J83" s="375"/>
      <c r="K83" s="375"/>
    </row>
    <row r="84" spans="1:11">
      <c r="A84" s="415" t="s">
        <v>1038</v>
      </c>
      <c r="B84" s="401" t="s">
        <v>1039</v>
      </c>
      <c r="C84" s="403" t="s">
        <v>326</v>
      </c>
      <c r="D84" s="525">
        <v>2</v>
      </c>
      <c r="E84" s="446"/>
      <c r="F84" s="446">
        <f t="shared" si="2"/>
        <v>0</v>
      </c>
      <c r="G84" s="375"/>
      <c r="H84" s="375"/>
      <c r="I84" s="375"/>
      <c r="J84" s="375"/>
      <c r="K84" s="375"/>
    </row>
    <row r="85" spans="1:11">
      <c r="A85" s="415" t="s">
        <v>1040</v>
      </c>
      <c r="B85" s="401" t="s">
        <v>526</v>
      </c>
      <c r="C85" s="403" t="s">
        <v>326</v>
      </c>
      <c r="D85" s="525">
        <v>1</v>
      </c>
      <c r="E85" s="446"/>
      <c r="F85" s="446">
        <f t="shared" si="2"/>
        <v>0</v>
      </c>
      <c r="G85" s="375"/>
      <c r="H85" s="375"/>
      <c r="I85" s="375"/>
      <c r="J85" s="375"/>
      <c r="K85" s="375"/>
    </row>
    <row r="86" spans="1:11">
      <c r="A86" s="415" t="s">
        <v>1041</v>
      </c>
      <c r="B86" s="401" t="s">
        <v>529</v>
      </c>
      <c r="C86" s="403" t="s">
        <v>326</v>
      </c>
      <c r="D86" s="525">
        <v>1</v>
      </c>
      <c r="E86" s="446"/>
      <c r="F86" s="446">
        <f t="shared" si="2"/>
        <v>0</v>
      </c>
      <c r="G86" s="375"/>
      <c r="H86" s="375"/>
      <c r="I86" s="375"/>
      <c r="J86" s="375"/>
      <c r="K86" s="375"/>
    </row>
    <row r="87" spans="1:11">
      <c r="A87" s="415" t="s">
        <v>1042</v>
      </c>
      <c r="B87" s="401" t="s">
        <v>608</v>
      </c>
      <c r="C87" s="403" t="s">
        <v>326</v>
      </c>
      <c r="D87" s="525">
        <v>4</v>
      </c>
      <c r="E87" s="446"/>
      <c r="F87" s="446">
        <f t="shared" si="2"/>
        <v>0</v>
      </c>
      <c r="G87" s="375"/>
      <c r="H87" s="375"/>
      <c r="I87" s="375"/>
      <c r="J87" s="375"/>
      <c r="K87" s="375"/>
    </row>
    <row r="88" spans="1:11">
      <c r="A88" s="415" t="s">
        <v>1043</v>
      </c>
      <c r="B88" s="401" t="s">
        <v>582</v>
      </c>
      <c r="C88" s="403" t="s">
        <v>326</v>
      </c>
      <c r="D88" s="525">
        <v>4</v>
      </c>
      <c r="E88" s="446"/>
      <c r="F88" s="446">
        <f t="shared" si="2"/>
        <v>0</v>
      </c>
      <c r="G88" s="375"/>
      <c r="H88" s="375"/>
      <c r="I88" s="375"/>
      <c r="J88" s="375"/>
      <c r="K88" s="375"/>
    </row>
    <row r="89" spans="1:11">
      <c r="A89" s="415" t="s">
        <v>1044</v>
      </c>
      <c r="B89" s="401" t="s">
        <v>595</v>
      </c>
      <c r="C89" s="403" t="s">
        <v>326</v>
      </c>
      <c r="D89" s="525">
        <v>2</v>
      </c>
      <c r="E89" s="446"/>
      <c r="F89" s="446">
        <f t="shared" si="2"/>
        <v>0</v>
      </c>
      <c r="G89" s="375"/>
      <c r="H89" s="375"/>
      <c r="I89" s="375"/>
      <c r="J89" s="375"/>
      <c r="K89" s="375"/>
    </row>
    <row r="90" spans="1:11">
      <c r="A90" s="415" t="s">
        <v>1045</v>
      </c>
      <c r="B90" s="401" t="s">
        <v>590</v>
      </c>
      <c r="C90" s="403" t="s">
        <v>326</v>
      </c>
      <c r="D90" s="525">
        <v>4</v>
      </c>
      <c r="E90" s="446"/>
      <c r="F90" s="446">
        <f t="shared" si="2"/>
        <v>0</v>
      </c>
      <c r="G90" s="375"/>
      <c r="H90" s="375"/>
      <c r="I90" s="375"/>
      <c r="J90" s="375"/>
      <c r="K90" s="375"/>
    </row>
    <row r="91" spans="1:11">
      <c r="A91" s="415" t="s">
        <v>1046</v>
      </c>
      <c r="B91" s="401" t="s">
        <v>506</v>
      </c>
      <c r="C91" s="403" t="s">
        <v>326</v>
      </c>
      <c r="D91" s="525">
        <v>1</v>
      </c>
      <c r="E91" s="446"/>
      <c r="F91" s="446">
        <f t="shared" si="2"/>
        <v>0</v>
      </c>
      <c r="G91" s="375"/>
      <c r="H91" s="375"/>
      <c r="I91" s="375"/>
      <c r="J91" s="375"/>
      <c r="K91" s="375"/>
    </row>
    <row r="92" spans="1:11">
      <c r="A92" s="415" t="s">
        <v>570</v>
      </c>
      <c r="B92" s="401" t="s">
        <v>571</v>
      </c>
      <c r="C92" s="403" t="s">
        <v>326</v>
      </c>
      <c r="D92" s="525">
        <v>1</v>
      </c>
      <c r="E92" s="446"/>
      <c r="F92" s="446">
        <f t="shared" si="2"/>
        <v>0</v>
      </c>
      <c r="G92" s="375"/>
      <c r="H92" s="375"/>
      <c r="I92" s="375"/>
      <c r="J92" s="375"/>
      <c r="K92" s="375"/>
    </row>
    <row r="93" spans="1:11">
      <c r="A93" s="415" t="s">
        <v>1047</v>
      </c>
      <c r="B93" s="401" t="s">
        <v>553</v>
      </c>
      <c r="C93" s="403" t="s">
        <v>326</v>
      </c>
      <c r="D93" s="525">
        <v>1</v>
      </c>
      <c r="E93" s="446"/>
      <c r="F93" s="446">
        <f t="shared" si="2"/>
        <v>0</v>
      </c>
      <c r="G93" s="375"/>
      <c r="H93" s="375"/>
      <c r="I93" s="375"/>
      <c r="J93" s="375"/>
      <c r="K93" s="375"/>
    </row>
    <row r="94" spans="1:11">
      <c r="A94" s="442" t="s">
        <v>1049</v>
      </c>
      <c r="B94" s="443" t="s">
        <v>683</v>
      </c>
      <c r="C94" s="442"/>
      <c r="D94" s="472"/>
      <c r="E94" s="445"/>
      <c r="F94" s="445"/>
      <c r="G94" s="375"/>
      <c r="H94" s="375"/>
      <c r="I94" s="375"/>
      <c r="J94" s="375"/>
      <c r="K94" s="375"/>
    </row>
    <row r="95" spans="1:11">
      <c r="A95" s="398" t="s">
        <v>1054</v>
      </c>
      <c r="B95" s="401" t="s">
        <v>685</v>
      </c>
      <c r="C95" s="403" t="s">
        <v>326</v>
      </c>
      <c r="D95" s="525">
        <v>1</v>
      </c>
      <c r="E95" s="446"/>
      <c r="F95" s="446">
        <f t="shared" si="2"/>
        <v>0</v>
      </c>
      <c r="G95" s="375"/>
      <c r="H95" s="375"/>
      <c r="I95" s="375"/>
      <c r="J95" s="375"/>
      <c r="K95" s="375"/>
    </row>
    <row r="96" spans="1:11">
      <c r="A96" s="558"/>
      <c r="B96" s="512" t="s">
        <v>1209</v>
      </c>
      <c r="C96" s="513"/>
      <c r="D96" s="514"/>
      <c r="E96" s="515"/>
      <c r="F96" s="516">
        <f>SUM(F77:F95)</f>
        <v>0</v>
      </c>
      <c r="G96" s="375"/>
      <c r="H96" s="375"/>
      <c r="I96" s="375"/>
      <c r="J96" s="375"/>
      <c r="K96" s="375"/>
    </row>
    <row r="97" spans="1:11">
      <c r="A97" s="504"/>
      <c r="B97" s="419"/>
      <c r="C97" s="419"/>
      <c r="D97" s="533"/>
      <c r="E97" s="506"/>
      <c r="F97" s="486"/>
      <c r="G97" s="375"/>
      <c r="H97" s="375"/>
      <c r="I97" s="375"/>
      <c r="J97" s="375"/>
      <c r="K97" s="375"/>
    </row>
    <row r="98" spans="1:11">
      <c r="A98" s="498" t="s">
        <v>1216</v>
      </c>
      <c r="B98" s="498"/>
      <c r="C98" s="499"/>
      <c r="D98" s="500"/>
      <c r="E98" s="501"/>
      <c r="F98" s="501"/>
      <c r="G98" s="375"/>
      <c r="H98" s="375"/>
      <c r="I98" s="375"/>
      <c r="J98" s="375"/>
      <c r="K98" s="375"/>
    </row>
    <row r="99" spans="1:11">
      <c r="A99" s="390"/>
      <c r="B99" s="420"/>
      <c r="C99" s="420"/>
      <c r="D99" s="532"/>
      <c r="E99" s="506"/>
      <c r="F99" s="486"/>
      <c r="G99" s="375"/>
      <c r="H99" s="375"/>
      <c r="I99" s="375"/>
      <c r="J99" s="375"/>
      <c r="K99" s="375"/>
    </row>
    <row r="100" spans="1:11">
      <c r="A100" s="438" t="s">
        <v>0</v>
      </c>
      <c r="B100" s="439" t="s">
        <v>967</v>
      </c>
      <c r="C100" s="438" t="s">
        <v>3</v>
      </c>
      <c r="D100" s="441" t="s">
        <v>839</v>
      </c>
      <c r="E100" s="441" t="s">
        <v>9</v>
      </c>
      <c r="F100" s="441" t="s">
        <v>1098</v>
      </c>
      <c r="G100" s="375"/>
      <c r="H100" s="375"/>
      <c r="I100" s="375"/>
      <c r="J100" s="375"/>
      <c r="K100" s="375"/>
    </row>
    <row r="101" spans="1:11">
      <c r="A101" s="442" t="s">
        <v>773</v>
      </c>
      <c r="B101" s="443" t="s">
        <v>774</v>
      </c>
      <c r="C101" s="442"/>
      <c r="D101" s="472"/>
      <c r="E101" s="445"/>
      <c r="F101" s="445"/>
      <c r="G101" s="375"/>
      <c r="H101" s="375"/>
      <c r="I101" s="375"/>
      <c r="J101" s="375"/>
      <c r="K101" s="375"/>
    </row>
    <row r="102" spans="1:11">
      <c r="A102" s="415" t="s">
        <v>785</v>
      </c>
      <c r="B102" s="401" t="s">
        <v>779</v>
      </c>
      <c r="C102" s="403" t="s">
        <v>123</v>
      </c>
      <c r="D102" s="525">
        <v>1</v>
      </c>
      <c r="E102" s="446"/>
      <c r="F102" s="446">
        <f>+E102*D102</f>
        <v>0</v>
      </c>
      <c r="G102" s="375"/>
      <c r="H102" s="375"/>
      <c r="I102" s="375"/>
      <c r="J102" s="375"/>
      <c r="K102" s="375"/>
    </row>
    <row r="103" spans="1:11">
      <c r="A103" s="415" t="s">
        <v>778</v>
      </c>
      <c r="B103" s="401" t="s">
        <v>782</v>
      </c>
      <c r="C103" s="403" t="s">
        <v>783</v>
      </c>
      <c r="D103" s="525">
        <v>2</v>
      </c>
      <c r="E103" s="446"/>
      <c r="F103" s="446">
        <f t="shared" ref="F103:F110" si="3">+E103*D103</f>
        <v>0</v>
      </c>
      <c r="G103" s="375"/>
      <c r="H103" s="375"/>
      <c r="I103" s="375"/>
      <c r="J103" s="375"/>
      <c r="K103" s="375"/>
    </row>
    <row r="104" spans="1:11">
      <c r="A104" s="415" t="s">
        <v>784</v>
      </c>
      <c r="B104" s="401" t="s">
        <v>787</v>
      </c>
      <c r="C104" s="403" t="s">
        <v>783</v>
      </c>
      <c r="D104" s="525">
        <v>3.5</v>
      </c>
      <c r="E104" s="446"/>
      <c r="F104" s="446">
        <f t="shared" si="3"/>
        <v>0</v>
      </c>
      <c r="G104" s="375"/>
      <c r="H104" s="375"/>
      <c r="I104" s="375"/>
      <c r="J104" s="375"/>
      <c r="K104" s="375"/>
    </row>
    <row r="105" spans="1:11">
      <c r="A105" s="415" t="s">
        <v>788</v>
      </c>
      <c r="B105" s="401" t="s">
        <v>790</v>
      </c>
      <c r="C105" s="403" t="s">
        <v>783</v>
      </c>
      <c r="D105" s="525">
        <v>4</v>
      </c>
      <c r="E105" s="446"/>
      <c r="F105" s="446">
        <f t="shared" si="3"/>
        <v>0</v>
      </c>
      <c r="G105" s="375"/>
      <c r="H105" s="375"/>
      <c r="I105" s="375"/>
      <c r="J105" s="375"/>
      <c r="K105" s="375"/>
    </row>
    <row r="106" spans="1:11">
      <c r="A106" s="415" t="s">
        <v>791</v>
      </c>
      <c r="B106" s="401" t="s">
        <v>795</v>
      </c>
      <c r="C106" s="403" t="s">
        <v>794</v>
      </c>
      <c r="D106" s="525">
        <v>2.5</v>
      </c>
      <c r="E106" s="446"/>
      <c r="F106" s="446">
        <f t="shared" si="3"/>
        <v>0</v>
      </c>
      <c r="G106" s="375"/>
      <c r="H106" s="375"/>
      <c r="I106" s="375"/>
      <c r="J106" s="375"/>
      <c r="K106" s="375"/>
    </row>
    <row r="107" spans="1:11">
      <c r="A107" s="415" t="s">
        <v>796</v>
      </c>
      <c r="B107" s="401" t="s">
        <v>798</v>
      </c>
      <c r="C107" s="403" t="s">
        <v>85</v>
      </c>
      <c r="D107" s="525">
        <v>1</v>
      </c>
      <c r="E107" s="446"/>
      <c r="F107" s="446">
        <f t="shared" si="3"/>
        <v>0</v>
      </c>
      <c r="G107" s="375"/>
      <c r="H107" s="375"/>
      <c r="I107" s="375"/>
      <c r="J107" s="375"/>
      <c r="K107" s="375"/>
    </row>
    <row r="108" spans="1:11">
      <c r="A108" s="415" t="s">
        <v>799</v>
      </c>
      <c r="B108" s="401" t="s">
        <v>1058</v>
      </c>
      <c r="C108" s="403" t="s">
        <v>794</v>
      </c>
      <c r="D108" s="525">
        <v>35</v>
      </c>
      <c r="E108" s="446"/>
      <c r="F108" s="446">
        <f t="shared" si="3"/>
        <v>0</v>
      </c>
      <c r="G108" s="375"/>
      <c r="H108" s="375"/>
      <c r="I108" s="375"/>
      <c r="J108" s="375"/>
      <c r="K108" s="375"/>
    </row>
    <row r="109" spans="1:11">
      <c r="A109" s="415" t="s">
        <v>801</v>
      </c>
      <c r="B109" s="401" t="s">
        <v>1217</v>
      </c>
      <c r="C109" s="403" t="s">
        <v>67</v>
      </c>
      <c r="D109" s="525">
        <v>3</v>
      </c>
      <c r="E109" s="446"/>
      <c r="F109" s="446">
        <f t="shared" si="3"/>
        <v>0</v>
      </c>
      <c r="G109" s="375"/>
      <c r="H109" s="375"/>
      <c r="I109" s="375"/>
      <c r="J109" s="375"/>
      <c r="K109" s="375"/>
    </row>
    <row r="110" spans="1:11">
      <c r="A110" s="415" t="s">
        <v>808</v>
      </c>
      <c r="B110" s="401" t="s">
        <v>809</v>
      </c>
      <c r="C110" s="403" t="s">
        <v>175</v>
      </c>
      <c r="D110" s="525">
        <v>1</v>
      </c>
      <c r="E110" s="446"/>
      <c r="F110" s="446">
        <f t="shared" si="3"/>
        <v>0</v>
      </c>
      <c r="G110" s="375"/>
      <c r="H110" s="375"/>
      <c r="I110" s="375"/>
      <c r="J110" s="375"/>
      <c r="K110" s="375"/>
    </row>
    <row r="111" spans="1:11">
      <c r="A111" s="558"/>
      <c r="B111" s="512" t="s">
        <v>1187</v>
      </c>
      <c r="C111" s="513"/>
      <c r="D111" s="514"/>
      <c r="E111" s="515"/>
      <c r="F111" s="516">
        <f>SUM(F102:F110)</f>
        <v>0</v>
      </c>
      <c r="G111" s="375"/>
      <c r="H111" s="375"/>
      <c r="I111" s="375"/>
      <c r="J111" s="375"/>
      <c r="K111" s="375"/>
    </row>
    <row r="112" spans="1:11">
      <c r="A112" s="558"/>
      <c r="B112" s="512" t="s">
        <v>1192</v>
      </c>
      <c r="C112" s="513"/>
      <c r="D112" s="514"/>
      <c r="E112" s="515"/>
      <c r="F112" s="516">
        <f>+F111+F96</f>
        <v>0</v>
      </c>
      <c r="G112" s="375"/>
      <c r="H112" s="375"/>
      <c r="I112" s="375"/>
      <c r="J112" s="375"/>
      <c r="K112" s="375"/>
    </row>
    <row r="113" spans="1:11">
      <c r="A113" s="390"/>
      <c r="B113" s="420"/>
      <c r="C113" s="420"/>
      <c r="D113" s="532"/>
      <c r="E113" s="506"/>
      <c r="F113" s="486"/>
      <c r="G113" s="375"/>
      <c r="H113" s="375"/>
      <c r="I113" s="375"/>
      <c r="J113" s="375"/>
      <c r="K113" s="375"/>
    </row>
    <row r="114" spans="1:11">
      <c r="A114" s="498" t="s">
        <v>1211</v>
      </c>
      <c r="B114" s="498"/>
      <c r="C114" s="499"/>
      <c r="D114" s="500"/>
      <c r="E114" s="501"/>
      <c r="F114" s="501"/>
      <c r="G114" s="375"/>
      <c r="H114" s="375"/>
      <c r="I114" s="375"/>
      <c r="J114" s="375"/>
      <c r="K114" s="375"/>
    </row>
    <row r="115" spans="1:11">
      <c r="A115" s="390"/>
      <c r="E115" s="506"/>
      <c r="F115" s="486"/>
      <c r="G115" s="375"/>
      <c r="H115" s="375"/>
      <c r="I115" s="375"/>
      <c r="J115" s="375"/>
      <c r="K115" s="375"/>
    </row>
    <row r="116" spans="1:11">
      <c r="A116" s="438" t="s">
        <v>0</v>
      </c>
      <c r="B116" s="439" t="s">
        <v>1155</v>
      </c>
      <c r="C116" s="438" t="s">
        <v>3</v>
      </c>
      <c r="D116" s="441" t="s">
        <v>839</v>
      </c>
      <c r="E116" s="441" t="s">
        <v>9</v>
      </c>
      <c r="F116" s="441" t="s">
        <v>1098</v>
      </c>
      <c r="G116" s="375"/>
      <c r="H116" s="375"/>
      <c r="I116" s="375"/>
      <c r="J116" s="375"/>
      <c r="K116" s="375"/>
    </row>
    <row r="117" spans="1:11">
      <c r="A117" s="442" t="s">
        <v>931</v>
      </c>
      <c r="B117" s="443" t="s">
        <v>206</v>
      </c>
      <c r="C117" s="442"/>
      <c r="D117" s="472"/>
      <c r="E117" s="445"/>
      <c r="F117" s="445"/>
      <c r="G117" s="375"/>
      <c r="H117" s="375"/>
      <c r="I117" s="375"/>
      <c r="J117" s="375"/>
      <c r="K117" s="375"/>
    </row>
    <row r="118" spans="1:11">
      <c r="A118" s="442" t="s">
        <v>932</v>
      </c>
      <c r="B118" s="443" t="s">
        <v>208</v>
      </c>
      <c r="C118" s="442"/>
      <c r="D118" s="472"/>
      <c r="E118" s="445"/>
      <c r="F118" s="445"/>
      <c r="G118" s="375"/>
      <c r="H118" s="375"/>
      <c r="I118" s="375"/>
      <c r="J118" s="375"/>
      <c r="K118" s="375"/>
    </row>
    <row r="119" spans="1:11">
      <c r="A119" s="406" t="s">
        <v>210</v>
      </c>
      <c r="B119" s="401" t="s">
        <v>213</v>
      </c>
      <c r="C119" s="398" t="s">
        <v>147</v>
      </c>
      <c r="D119" s="400">
        <v>1</v>
      </c>
      <c r="E119" s="446"/>
      <c r="F119" s="446">
        <f>+E119*D119</f>
        <v>0</v>
      </c>
      <c r="G119" s="375"/>
      <c r="H119" s="375"/>
      <c r="I119" s="375"/>
      <c r="J119" s="375"/>
      <c r="K119" s="375"/>
    </row>
    <row r="120" spans="1:11">
      <c r="A120" s="442" t="s">
        <v>933</v>
      </c>
      <c r="B120" s="443" t="s">
        <v>220</v>
      </c>
      <c r="C120" s="442"/>
      <c r="D120" s="472"/>
      <c r="E120" s="445"/>
      <c r="F120" s="445"/>
      <c r="G120" s="375"/>
      <c r="H120" s="375"/>
      <c r="I120" s="375"/>
      <c r="J120" s="375"/>
      <c r="K120" s="375"/>
    </row>
    <row r="121" spans="1:11">
      <c r="A121" s="406" t="s">
        <v>934</v>
      </c>
      <c r="B121" s="401" t="s">
        <v>223</v>
      </c>
      <c r="C121" s="398" t="s">
        <v>224</v>
      </c>
      <c r="D121" s="400">
        <v>1</v>
      </c>
      <c r="E121" s="446"/>
      <c r="F121" s="446">
        <f t="shared" ref="F121:F130" si="4">+E121*D121</f>
        <v>0</v>
      </c>
      <c r="G121" s="375"/>
      <c r="H121" s="375"/>
      <c r="I121" s="375"/>
      <c r="J121" s="375"/>
      <c r="K121" s="375"/>
    </row>
    <row r="122" spans="1:11">
      <c r="A122" s="406" t="s">
        <v>936</v>
      </c>
      <c r="B122" s="401" t="s">
        <v>229</v>
      </c>
      <c r="C122" s="398" t="s">
        <v>232</v>
      </c>
      <c r="D122" s="400">
        <v>50</v>
      </c>
      <c r="E122" s="446"/>
      <c r="F122" s="446">
        <f t="shared" si="4"/>
        <v>0</v>
      </c>
      <c r="G122" s="375"/>
      <c r="H122" s="375"/>
      <c r="I122" s="375"/>
      <c r="J122" s="375"/>
      <c r="K122" s="375"/>
    </row>
    <row r="123" spans="1:11">
      <c r="A123" s="415" t="s">
        <v>937</v>
      </c>
      <c r="B123" s="401" t="s">
        <v>126</v>
      </c>
      <c r="C123" s="403" t="s">
        <v>67</v>
      </c>
      <c r="D123" s="525">
        <v>50</v>
      </c>
      <c r="E123" s="446"/>
      <c r="F123" s="446">
        <f t="shared" si="4"/>
        <v>0</v>
      </c>
      <c r="G123" s="375"/>
      <c r="H123" s="375"/>
      <c r="I123" s="375"/>
      <c r="J123" s="375"/>
      <c r="K123" s="375"/>
    </row>
    <row r="124" spans="1:11">
      <c r="A124" s="442" t="s">
        <v>946</v>
      </c>
      <c r="B124" s="443" t="s">
        <v>1218</v>
      </c>
      <c r="C124" s="442"/>
      <c r="D124" s="472"/>
      <c r="E124" s="445"/>
      <c r="F124" s="445"/>
      <c r="G124" s="375"/>
      <c r="H124" s="375"/>
      <c r="I124" s="375"/>
      <c r="J124" s="375"/>
      <c r="K124" s="375"/>
    </row>
    <row r="125" spans="1:11">
      <c r="A125" s="540" t="s">
        <v>955</v>
      </c>
      <c r="B125" s="401" t="s">
        <v>185</v>
      </c>
      <c r="C125" s="398" t="s">
        <v>123</v>
      </c>
      <c r="D125" s="400">
        <v>1</v>
      </c>
      <c r="E125" s="446"/>
      <c r="F125" s="446">
        <f t="shared" si="4"/>
        <v>0</v>
      </c>
      <c r="G125" s="375"/>
      <c r="H125" s="375"/>
      <c r="I125" s="375"/>
      <c r="J125" s="375"/>
      <c r="K125" s="375"/>
    </row>
    <row r="126" spans="1:11">
      <c r="A126" s="540" t="s">
        <v>956</v>
      </c>
      <c r="B126" s="401" t="s">
        <v>234</v>
      </c>
      <c r="C126" s="398" t="s">
        <v>147</v>
      </c>
      <c r="D126" s="416">
        <v>17</v>
      </c>
      <c r="E126" s="446"/>
      <c r="F126" s="446">
        <f t="shared" si="4"/>
        <v>0</v>
      </c>
      <c r="G126" s="375"/>
      <c r="H126" s="375"/>
      <c r="I126" s="375"/>
      <c r="J126" s="375"/>
      <c r="K126" s="375"/>
    </row>
    <row r="127" spans="1:11">
      <c r="A127" s="540" t="s">
        <v>957</v>
      </c>
      <c r="B127" s="401" t="s">
        <v>238</v>
      </c>
      <c r="C127" s="398" t="s">
        <v>147</v>
      </c>
      <c r="D127" s="416">
        <v>6</v>
      </c>
      <c r="E127" s="446"/>
      <c r="F127" s="446">
        <f t="shared" si="4"/>
        <v>0</v>
      </c>
      <c r="G127" s="375"/>
      <c r="H127" s="375"/>
      <c r="I127" s="375"/>
      <c r="J127" s="375"/>
      <c r="K127" s="375"/>
    </row>
    <row r="128" spans="1:11">
      <c r="A128" s="540" t="s">
        <v>958</v>
      </c>
      <c r="B128" s="401" t="s">
        <v>241</v>
      </c>
      <c r="C128" s="398" t="s">
        <v>147</v>
      </c>
      <c r="D128" s="416">
        <v>6</v>
      </c>
      <c r="E128" s="446"/>
      <c r="F128" s="446">
        <f t="shared" si="4"/>
        <v>0</v>
      </c>
      <c r="G128" s="375"/>
      <c r="H128" s="375"/>
      <c r="I128" s="375"/>
      <c r="J128" s="375"/>
      <c r="K128" s="375"/>
    </row>
    <row r="129" spans="1:11">
      <c r="A129" s="442" t="s">
        <v>961</v>
      </c>
      <c r="B129" s="443" t="s">
        <v>18</v>
      </c>
      <c r="C129" s="442"/>
      <c r="D129" s="472"/>
      <c r="E129" s="445"/>
      <c r="F129" s="445"/>
      <c r="G129" s="375"/>
      <c r="H129" s="375"/>
      <c r="I129" s="375"/>
      <c r="J129" s="375"/>
      <c r="K129" s="375"/>
    </row>
    <row r="130" spans="1:11">
      <c r="A130" s="398" t="s">
        <v>962</v>
      </c>
      <c r="B130" s="401" t="s">
        <v>18</v>
      </c>
      <c r="C130" s="398" t="s">
        <v>232</v>
      </c>
      <c r="D130" s="400">
        <v>80</v>
      </c>
      <c r="E130" s="446"/>
      <c r="F130" s="446">
        <f t="shared" si="4"/>
        <v>0</v>
      </c>
      <c r="G130" s="375"/>
      <c r="H130" s="375"/>
      <c r="I130" s="375"/>
      <c r="J130" s="375"/>
      <c r="K130" s="375"/>
    </row>
    <row r="131" spans="1:11">
      <c r="A131" s="558"/>
      <c r="B131" s="512" t="s">
        <v>1219</v>
      </c>
      <c r="C131" s="513"/>
      <c r="D131" s="514"/>
      <c r="E131" s="515"/>
      <c r="F131" s="516">
        <f>SUM(F119:F130)</f>
        <v>0</v>
      </c>
      <c r="G131" s="375"/>
      <c r="H131" s="375"/>
      <c r="I131" s="375"/>
      <c r="J131" s="375"/>
      <c r="K131" s="375"/>
    </row>
    <row r="132" spans="1:11">
      <c r="A132" s="418"/>
      <c r="B132" s="420"/>
      <c r="C132" s="420"/>
      <c r="D132" s="532"/>
      <c r="E132" s="506"/>
      <c r="F132" s="486"/>
      <c r="G132" s="375"/>
      <c r="H132" s="375"/>
      <c r="I132" s="375"/>
      <c r="J132" s="375"/>
      <c r="K132" s="375"/>
    </row>
    <row r="133" spans="1:11">
      <c r="A133" s="394"/>
      <c r="B133" s="559" t="s">
        <v>1194</v>
      </c>
      <c r="C133" s="562"/>
      <c r="D133" s="563"/>
      <c r="E133" s="559"/>
      <c r="F133" s="516">
        <f>+F131+F112+F71</f>
        <v>0</v>
      </c>
      <c r="G133" s="375"/>
      <c r="H133" s="375"/>
      <c r="I133" s="375"/>
      <c r="J133" s="375"/>
      <c r="K133" s="375"/>
    </row>
    <row r="134" spans="1:11">
      <c r="A134" s="394"/>
      <c r="B134" s="559" t="s">
        <v>1195</v>
      </c>
      <c r="C134" s="562"/>
      <c r="D134" s="563"/>
      <c r="E134" s="559"/>
      <c r="F134" s="516">
        <f>+F133*0.18</f>
        <v>0</v>
      </c>
      <c r="G134" s="375"/>
      <c r="H134" s="375"/>
      <c r="I134" s="375"/>
      <c r="J134" s="375"/>
      <c r="K134" s="375"/>
    </row>
    <row r="135" spans="1:11">
      <c r="A135" s="394"/>
      <c r="B135" s="559" t="s">
        <v>1196</v>
      </c>
      <c r="C135" s="562"/>
      <c r="D135" s="563"/>
      <c r="E135" s="559"/>
      <c r="F135" s="516">
        <f>+F133+F134</f>
        <v>0</v>
      </c>
      <c r="G135" s="375"/>
      <c r="H135" s="375"/>
      <c r="I135" s="375"/>
      <c r="J135" s="375"/>
      <c r="K135" s="375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51"/>
  <sheetViews>
    <sheetView zoomScale="85" zoomScaleNormal="85" workbookViewId="0">
      <selection activeCell="E107" sqref="E107:E115"/>
    </sheetView>
  </sheetViews>
  <sheetFormatPr defaultColWidth="11.42578125" defaultRowHeight="14.45"/>
  <cols>
    <col min="1" max="1" width="16.5703125" style="435" bestFit="1" customWidth="1"/>
    <col min="2" max="2" width="77.85546875" style="435" bestFit="1" customWidth="1"/>
    <col min="3" max="3" width="7.140625" style="389" bestFit="1" customWidth="1"/>
    <col min="4" max="4" width="11.140625" style="542" bestFit="1" customWidth="1"/>
    <col min="5" max="5" width="17.28515625" style="437" bestFit="1" customWidth="1"/>
    <col min="6" max="6" width="20.85546875" style="437" bestFit="1" customWidth="1"/>
  </cols>
  <sheetData>
    <row r="2" spans="1:8" ht="45" customHeight="1">
      <c r="A2" s="585" t="s">
        <v>1220</v>
      </c>
      <c r="B2" s="585"/>
      <c r="C2" s="585"/>
      <c r="D2" s="585"/>
      <c r="E2" s="585"/>
      <c r="F2" s="585"/>
      <c r="G2" s="376"/>
      <c r="H2" s="376"/>
    </row>
    <row r="3" spans="1:8">
      <c r="A3" s="390"/>
      <c r="B3" s="420"/>
      <c r="C3" s="421"/>
      <c r="D3" s="532"/>
      <c r="E3" s="506"/>
      <c r="F3" s="486"/>
      <c r="G3" s="375"/>
      <c r="H3" s="375"/>
    </row>
    <row r="4" spans="1:8">
      <c r="A4" s="498" t="s">
        <v>1221</v>
      </c>
      <c r="B4" s="498"/>
      <c r="C4" s="499"/>
      <c r="D4" s="500"/>
      <c r="E4" s="501"/>
      <c r="F4" s="501"/>
      <c r="G4" s="375"/>
      <c r="H4" s="375"/>
    </row>
    <row r="5" spans="1:8">
      <c r="A5" s="390"/>
      <c r="B5" s="420"/>
      <c r="C5" s="421"/>
      <c r="D5" s="532"/>
      <c r="E5" s="506"/>
      <c r="F5" s="486"/>
      <c r="G5" s="375"/>
      <c r="H5" s="375"/>
    </row>
    <row r="6" spans="1:8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1097</v>
      </c>
      <c r="F6" s="441" t="s">
        <v>1098</v>
      </c>
      <c r="G6" s="375"/>
      <c r="H6" s="375"/>
    </row>
    <row r="7" spans="1:8">
      <c r="A7" s="442" t="s">
        <v>715</v>
      </c>
      <c r="B7" s="443" t="s">
        <v>716</v>
      </c>
      <c r="C7" s="442"/>
      <c r="D7" s="472"/>
      <c r="E7" s="445"/>
      <c r="F7" s="445"/>
      <c r="G7" s="375"/>
      <c r="H7" s="375"/>
    </row>
    <row r="8" spans="1:8">
      <c r="A8" s="398" t="s">
        <v>717</v>
      </c>
      <c r="B8" s="399" t="s">
        <v>720</v>
      </c>
      <c r="C8" s="398" t="s">
        <v>123</v>
      </c>
      <c r="D8" s="543">
        <v>1</v>
      </c>
      <c r="E8" s="446"/>
      <c r="F8" s="446">
        <f>+E8*D8</f>
        <v>0</v>
      </c>
      <c r="G8" s="375"/>
      <c r="H8" s="375"/>
    </row>
    <row r="9" spans="1:8">
      <c r="A9" s="442" t="s">
        <v>968</v>
      </c>
      <c r="B9" s="443" t="s">
        <v>817</v>
      </c>
      <c r="C9" s="442"/>
      <c r="D9" s="472"/>
      <c r="E9" s="445"/>
      <c r="F9" s="445"/>
      <c r="G9" s="375"/>
      <c r="H9" s="375"/>
    </row>
    <row r="10" spans="1:8">
      <c r="A10" s="415" t="s">
        <v>971</v>
      </c>
      <c r="B10" s="401" t="s">
        <v>819</v>
      </c>
      <c r="C10" s="403" t="s">
        <v>67</v>
      </c>
      <c r="D10" s="544">
        <v>355</v>
      </c>
      <c r="E10" s="446"/>
      <c r="F10" s="446">
        <f t="shared" ref="F10:F45" si="0">+E10*D10</f>
        <v>0</v>
      </c>
      <c r="G10" s="375"/>
      <c r="H10" s="375"/>
    </row>
    <row r="11" spans="1:8">
      <c r="A11" s="442" t="s">
        <v>974</v>
      </c>
      <c r="B11" s="443" t="s">
        <v>812</v>
      </c>
      <c r="C11" s="442"/>
      <c r="D11" s="472"/>
      <c r="E11" s="445"/>
      <c r="F11" s="445"/>
      <c r="G11" s="375"/>
      <c r="H11" s="375"/>
    </row>
    <row r="12" spans="1:8">
      <c r="A12" s="402" t="s">
        <v>24</v>
      </c>
      <c r="B12" s="407" t="s">
        <v>25</v>
      </c>
      <c r="C12" s="402"/>
      <c r="D12" s="545"/>
      <c r="E12" s="417"/>
      <c r="F12" s="446"/>
      <c r="G12" s="375"/>
      <c r="H12" s="375"/>
    </row>
    <row r="13" spans="1:8">
      <c r="A13" s="403" t="s">
        <v>975</v>
      </c>
      <c r="B13" s="401" t="s">
        <v>458</v>
      </c>
      <c r="C13" s="403" t="s">
        <v>67</v>
      </c>
      <c r="D13" s="467">
        <v>30</v>
      </c>
      <c r="E13" s="446"/>
      <c r="F13" s="446">
        <f t="shared" si="0"/>
        <v>0</v>
      </c>
      <c r="G13" s="375"/>
      <c r="H13" s="375"/>
    </row>
    <row r="14" spans="1:8">
      <c r="A14" s="403" t="s">
        <v>976</v>
      </c>
      <c r="B14" s="401" t="s">
        <v>460</v>
      </c>
      <c r="C14" s="403" t="s">
        <v>67</v>
      </c>
      <c r="D14" s="467">
        <v>24</v>
      </c>
      <c r="E14" s="446"/>
      <c r="F14" s="446">
        <f t="shared" si="0"/>
        <v>0</v>
      </c>
      <c r="G14" s="375"/>
      <c r="H14" s="375"/>
    </row>
    <row r="15" spans="1:8">
      <c r="A15" s="442" t="s">
        <v>977</v>
      </c>
      <c r="B15" s="443" t="s">
        <v>16</v>
      </c>
      <c r="C15" s="442"/>
      <c r="D15" s="472"/>
      <c r="E15" s="445"/>
      <c r="F15" s="445"/>
      <c r="G15" s="375"/>
      <c r="H15" s="375"/>
    </row>
    <row r="16" spans="1:8">
      <c r="A16" s="442" t="s">
        <v>574</v>
      </c>
      <c r="B16" s="443" t="s">
        <v>575</v>
      </c>
      <c r="C16" s="442"/>
      <c r="D16" s="472"/>
      <c r="E16" s="445"/>
      <c r="F16" s="445"/>
      <c r="G16" s="375"/>
      <c r="H16" s="375"/>
    </row>
    <row r="17" spans="1:8">
      <c r="A17" s="415" t="s">
        <v>586</v>
      </c>
      <c r="B17" s="401" t="s">
        <v>584</v>
      </c>
      <c r="C17" s="403" t="s">
        <v>326</v>
      </c>
      <c r="D17" s="467">
        <v>1</v>
      </c>
      <c r="E17" s="446"/>
      <c r="F17" s="446">
        <f t="shared" si="0"/>
        <v>0</v>
      </c>
      <c r="G17" s="375"/>
      <c r="H17" s="375"/>
    </row>
    <row r="18" spans="1:8">
      <c r="A18" s="415" t="s">
        <v>579</v>
      </c>
      <c r="B18" s="401" t="s">
        <v>578</v>
      </c>
      <c r="C18" s="403" t="s">
        <v>326</v>
      </c>
      <c r="D18" s="467">
        <v>4</v>
      </c>
      <c r="E18" s="446"/>
      <c r="F18" s="446">
        <f t="shared" si="0"/>
        <v>0</v>
      </c>
      <c r="G18" s="375"/>
      <c r="H18" s="375"/>
    </row>
    <row r="19" spans="1:8">
      <c r="A19" s="442" t="s">
        <v>1137</v>
      </c>
      <c r="B19" s="443" t="s">
        <v>599</v>
      </c>
      <c r="C19" s="442"/>
      <c r="D19" s="472"/>
      <c r="E19" s="445"/>
      <c r="F19" s="445"/>
      <c r="G19" s="375"/>
      <c r="H19" s="375"/>
    </row>
    <row r="20" spans="1:8">
      <c r="A20" s="415" t="s">
        <v>981</v>
      </c>
      <c r="B20" s="401" t="s">
        <v>605</v>
      </c>
      <c r="C20" s="403" t="s">
        <v>326</v>
      </c>
      <c r="D20" s="467">
        <v>6</v>
      </c>
      <c r="E20" s="446"/>
      <c r="F20" s="446">
        <f t="shared" si="0"/>
        <v>0</v>
      </c>
      <c r="G20" s="375"/>
      <c r="H20" s="375"/>
    </row>
    <row r="21" spans="1:8">
      <c r="A21" s="415" t="s">
        <v>982</v>
      </c>
      <c r="B21" s="401" t="s">
        <v>602</v>
      </c>
      <c r="C21" s="403" t="s">
        <v>326</v>
      </c>
      <c r="D21" s="467">
        <v>12</v>
      </c>
      <c r="E21" s="446"/>
      <c r="F21" s="446">
        <f t="shared" si="0"/>
        <v>0</v>
      </c>
      <c r="G21" s="375"/>
      <c r="H21" s="375"/>
    </row>
    <row r="22" spans="1:8">
      <c r="A22" s="442" t="s">
        <v>1138</v>
      </c>
      <c r="B22" s="443" t="s">
        <v>592</v>
      </c>
      <c r="C22" s="442"/>
      <c r="D22" s="472"/>
      <c r="E22" s="445"/>
      <c r="F22" s="445"/>
      <c r="G22" s="375"/>
      <c r="H22" s="375"/>
    </row>
    <row r="23" spans="1:8">
      <c r="A23" s="415" t="s">
        <v>1139</v>
      </c>
      <c r="B23" s="401" t="s">
        <v>595</v>
      </c>
      <c r="C23" s="403" t="s">
        <v>326</v>
      </c>
      <c r="D23" s="467">
        <v>2</v>
      </c>
      <c r="E23" s="446"/>
      <c r="F23" s="446">
        <f t="shared" si="0"/>
        <v>0</v>
      </c>
      <c r="G23" s="375"/>
      <c r="H23" s="375"/>
    </row>
    <row r="24" spans="1:8">
      <c r="A24" s="442" t="s">
        <v>1140</v>
      </c>
      <c r="B24" s="443" t="s">
        <v>497</v>
      </c>
      <c r="C24" s="442"/>
      <c r="D24" s="472"/>
      <c r="E24" s="445"/>
      <c r="F24" s="445"/>
      <c r="G24" s="375"/>
      <c r="H24" s="375"/>
    </row>
    <row r="25" spans="1:8">
      <c r="A25" s="442" t="s">
        <v>507</v>
      </c>
      <c r="B25" s="443" t="s">
        <v>508</v>
      </c>
      <c r="C25" s="442"/>
      <c r="D25" s="472"/>
      <c r="E25" s="445"/>
      <c r="F25" s="445"/>
      <c r="G25" s="375"/>
      <c r="H25" s="375"/>
    </row>
    <row r="26" spans="1:8">
      <c r="A26" s="415" t="s">
        <v>510</v>
      </c>
      <c r="B26" s="401" t="s">
        <v>511</v>
      </c>
      <c r="C26" s="403" t="s">
        <v>326</v>
      </c>
      <c r="D26" s="467">
        <v>28</v>
      </c>
      <c r="E26" s="446"/>
      <c r="F26" s="446">
        <f t="shared" si="0"/>
        <v>0</v>
      </c>
      <c r="G26" s="375"/>
      <c r="H26" s="375"/>
    </row>
    <row r="27" spans="1:8">
      <c r="A27" s="442" t="s">
        <v>983</v>
      </c>
      <c r="B27" s="443" t="s">
        <v>536</v>
      </c>
      <c r="C27" s="442"/>
      <c r="D27" s="472"/>
      <c r="E27" s="445"/>
      <c r="F27" s="445"/>
      <c r="G27" s="375"/>
      <c r="H27" s="375"/>
    </row>
    <row r="28" spans="1:8">
      <c r="A28" s="415" t="s">
        <v>537</v>
      </c>
      <c r="B28" s="401" t="s">
        <v>519</v>
      </c>
      <c r="C28" s="403" t="s">
        <v>326</v>
      </c>
      <c r="D28" s="467">
        <v>12</v>
      </c>
      <c r="E28" s="446"/>
      <c r="F28" s="446">
        <f t="shared" si="0"/>
        <v>0</v>
      </c>
      <c r="G28" s="375"/>
      <c r="H28" s="375"/>
    </row>
    <row r="29" spans="1:8">
      <c r="A29" s="442" t="s">
        <v>1037</v>
      </c>
      <c r="B29" s="443" t="s">
        <v>1130</v>
      </c>
      <c r="C29" s="442"/>
      <c r="D29" s="472"/>
      <c r="E29" s="445"/>
      <c r="F29" s="445"/>
      <c r="G29" s="375"/>
      <c r="H29" s="375"/>
    </row>
    <row r="30" spans="1:8">
      <c r="A30" s="415" t="s">
        <v>1048</v>
      </c>
      <c r="B30" s="401" t="s">
        <v>503</v>
      </c>
      <c r="C30" s="403" t="s">
        <v>326</v>
      </c>
      <c r="D30" s="467">
        <v>2</v>
      </c>
      <c r="E30" s="446"/>
      <c r="F30" s="446">
        <f t="shared" si="0"/>
        <v>0</v>
      </c>
      <c r="G30" s="375"/>
      <c r="H30" s="375"/>
    </row>
    <row r="31" spans="1:8">
      <c r="A31" s="442" t="s">
        <v>1140</v>
      </c>
      <c r="B31" s="443" t="s">
        <v>560</v>
      </c>
      <c r="C31" s="442"/>
      <c r="D31" s="472"/>
      <c r="E31" s="445"/>
      <c r="F31" s="445"/>
      <c r="G31" s="375"/>
      <c r="H31" s="375"/>
    </row>
    <row r="32" spans="1:8">
      <c r="A32" s="415" t="s">
        <v>984</v>
      </c>
      <c r="B32" s="401" t="s">
        <v>563</v>
      </c>
      <c r="C32" s="403" t="s">
        <v>326</v>
      </c>
      <c r="D32" s="467">
        <v>8</v>
      </c>
      <c r="E32" s="446"/>
      <c r="F32" s="446">
        <f t="shared" si="0"/>
        <v>0</v>
      </c>
      <c r="G32" s="375"/>
      <c r="H32" s="375"/>
    </row>
    <row r="33" spans="1:8">
      <c r="A33" s="442" t="s">
        <v>985</v>
      </c>
      <c r="B33" s="443" t="s">
        <v>521</v>
      </c>
      <c r="C33" s="442" t="s">
        <v>28</v>
      </c>
      <c r="D33" s="472"/>
      <c r="E33" s="445"/>
      <c r="F33" s="445"/>
      <c r="G33" s="375"/>
      <c r="H33" s="375"/>
    </row>
    <row r="34" spans="1:8">
      <c r="A34" s="415" t="s">
        <v>986</v>
      </c>
      <c r="B34" s="401" t="s">
        <v>523</v>
      </c>
      <c r="C34" s="403" t="s">
        <v>326</v>
      </c>
      <c r="D34" s="467">
        <v>10</v>
      </c>
      <c r="E34" s="446"/>
      <c r="F34" s="446">
        <f t="shared" si="0"/>
        <v>0</v>
      </c>
      <c r="G34" s="375"/>
      <c r="H34" s="375"/>
    </row>
    <row r="35" spans="1:8">
      <c r="A35" s="442" t="s">
        <v>987</v>
      </c>
      <c r="B35" s="443" t="s">
        <v>565</v>
      </c>
      <c r="C35" s="442"/>
      <c r="D35" s="472"/>
      <c r="E35" s="445"/>
      <c r="F35" s="445"/>
      <c r="G35" s="375"/>
      <c r="H35" s="375"/>
    </row>
    <row r="36" spans="1:8">
      <c r="A36" s="415" t="s">
        <v>567</v>
      </c>
      <c r="B36" s="401" t="s">
        <v>568</v>
      </c>
      <c r="C36" s="403" t="s">
        <v>326</v>
      </c>
      <c r="D36" s="467">
        <v>5</v>
      </c>
      <c r="E36" s="446"/>
      <c r="F36" s="446">
        <f t="shared" si="0"/>
        <v>0</v>
      </c>
      <c r="G36" s="375"/>
      <c r="H36" s="375"/>
    </row>
    <row r="37" spans="1:8">
      <c r="A37" s="442" t="s">
        <v>988</v>
      </c>
      <c r="B37" s="443" t="s">
        <v>550</v>
      </c>
      <c r="C37" s="442"/>
      <c r="D37" s="472"/>
      <c r="E37" s="445"/>
      <c r="F37" s="445"/>
      <c r="G37" s="375"/>
      <c r="H37" s="375"/>
    </row>
    <row r="38" spans="1:8">
      <c r="A38" s="415" t="s">
        <v>989</v>
      </c>
      <c r="B38" s="401" t="s">
        <v>556</v>
      </c>
      <c r="C38" s="403" t="s">
        <v>326</v>
      </c>
      <c r="D38" s="467">
        <v>6</v>
      </c>
      <c r="E38" s="446"/>
      <c r="F38" s="446">
        <f t="shared" si="0"/>
        <v>0</v>
      </c>
      <c r="G38" s="375"/>
      <c r="H38" s="375"/>
    </row>
    <row r="39" spans="1:8">
      <c r="A39" s="415" t="s">
        <v>990</v>
      </c>
      <c r="B39" s="401" t="s">
        <v>558</v>
      </c>
      <c r="C39" s="403" t="s">
        <v>326</v>
      </c>
      <c r="D39" s="467">
        <v>1</v>
      </c>
      <c r="E39" s="446"/>
      <c r="F39" s="446">
        <f t="shared" si="0"/>
        <v>0</v>
      </c>
      <c r="G39" s="375"/>
      <c r="H39" s="375"/>
    </row>
    <row r="40" spans="1:8">
      <c r="A40" s="442" t="s">
        <v>1141</v>
      </c>
      <c r="B40" s="443" t="s">
        <v>543</v>
      </c>
      <c r="C40" s="442"/>
      <c r="D40" s="472"/>
      <c r="E40" s="445"/>
      <c r="F40" s="445"/>
      <c r="G40" s="375"/>
      <c r="H40" s="375"/>
    </row>
    <row r="41" spans="1:8">
      <c r="A41" s="415" t="s">
        <v>1142</v>
      </c>
      <c r="B41" s="401" t="s">
        <v>546</v>
      </c>
      <c r="C41" s="403" t="s">
        <v>326</v>
      </c>
      <c r="D41" s="467">
        <v>1</v>
      </c>
      <c r="E41" s="446"/>
      <c r="F41" s="446">
        <f t="shared" si="0"/>
        <v>0</v>
      </c>
      <c r="G41" s="375"/>
      <c r="H41" s="375"/>
    </row>
    <row r="42" spans="1:8">
      <c r="A42" s="442" t="s">
        <v>993</v>
      </c>
      <c r="B42" s="443" t="s">
        <v>513</v>
      </c>
      <c r="C42" s="442"/>
      <c r="D42" s="472"/>
      <c r="E42" s="445"/>
      <c r="F42" s="445"/>
      <c r="G42" s="375"/>
      <c r="H42" s="375"/>
    </row>
    <row r="43" spans="1:8">
      <c r="A43" s="415" t="s">
        <v>994</v>
      </c>
      <c r="B43" s="401" t="s">
        <v>516</v>
      </c>
      <c r="C43" s="403" t="s">
        <v>326</v>
      </c>
      <c r="D43" s="467">
        <v>1</v>
      </c>
      <c r="E43" s="446"/>
      <c r="F43" s="446">
        <f t="shared" si="0"/>
        <v>0</v>
      </c>
      <c r="G43" s="375"/>
      <c r="H43" s="375"/>
    </row>
    <row r="44" spans="1:8">
      <c r="A44" s="442" t="s">
        <v>995</v>
      </c>
      <c r="B44" s="443" t="s">
        <v>531</v>
      </c>
      <c r="C44" s="442"/>
      <c r="D44" s="472"/>
      <c r="E44" s="445"/>
      <c r="F44" s="445"/>
      <c r="G44" s="375"/>
      <c r="H44" s="375"/>
    </row>
    <row r="45" spans="1:8">
      <c r="A45" s="415" t="s">
        <v>533</v>
      </c>
      <c r="B45" s="401" t="s">
        <v>534</v>
      </c>
      <c r="C45" s="403" t="s">
        <v>326</v>
      </c>
      <c r="D45" s="467">
        <v>5</v>
      </c>
      <c r="E45" s="446"/>
      <c r="F45" s="446">
        <f t="shared" si="0"/>
        <v>0</v>
      </c>
      <c r="G45" s="375"/>
      <c r="H45" s="375"/>
    </row>
    <row r="46" spans="1:8">
      <c r="A46" s="558"/>
      <c r="B46" s="512" t="s">
        <v>1143</v>
      </c>
      <c r="C46" s="513"/>
      <c r="D46" s="514"/>
      <c r="E46" s="515"/>
      <c r="F46" s="516">
        <f>SUM(F8:F45)</f>
        <v>0</v>
      </c>
      <c r="G46" s="375"/>
      <c r="H46" s="375"/>
    </row>
    <row r="47" spans="1:8">
      <c r="A47" s="504"/>
      <c r="B47" s="419"/>
      <c r="C47" s="541"/>
      <c r="D47" s="533"/>
      <c r="E47" s="506"/>
      <c r="F47" s="486"/>
      <c r="G47" s="375"/>
      <c r="H47" s="375"/>
    </row>
    <row r="48" spans="1:8">
      <c r="A48" s="498" t="s">
        <v>1222</v>
      </c>
      <c r="B48" s="498"/>
      <c r="C48" s="499"/>
      <c r="D48" s="500"/>
      <c r="E48" s="501"/>
      <c r="F48" s="501"/>
      <c r="G48" s="375"/>
      <c r="H48" s="375"/>
    </row>
    <row r="49" spans="1:8">
      <c r="A49" s="390"/>
      <c r="B49" s="420"/>
      <c r="C49" s="421"/>
      <c r="D49" s="532"/>
      <c r="E49" s="506"/>
      <c r="F49" s="486"/>
      <c r="G49" s="375"/>
      <c r="H49" s="375"/>
    </row>
    <row r="50" spans="1:8">
      <c r="A50" s="438" t="s">
        <v>0</v>
      </c>
      <c r="B50" s="439" t="s">
        <v>967</v>
      </c>
      <c r="C50" s="438" t="s">
        <v>3</v>
      </c>
      <c r="D50" s="441" t="s">
        <v>839</v>
      </c>
      <c r="E50" s="441" t="s">
        <v>9</v>
      </c>
      <c r="F50" s="441" t="s">
        <v>11</v>
      </c>
      <c r="G50" s="375"/>
      <c r="H50" s="375"/>
    </row>
    <row r="51" spans="1:8">
      <c r="A51" s="442"/>
      <c r="B51" s="443" t="s">
        <v>1223</v>
      </c>
      <c r="C51" s="442"/>
      <c r="D51" s="472"/>
      <c r="E51" s="445"/>
      <c r="F51" s="445"/>
      <c r="G51" s="375"/>
      <c r="H51" s="375"/>
    </row>
    <row r="52" spans="1:8">
      <c r="A52" s="442" t="s">
        <v>692</v>
      </c>
      <c r="B52" s="443" t="s">
        <v>697</v>
      </c>
      <c r="C52" s="442"/>
      <c r="D52" s="472"/>
      <c r="E52" s="445"/>
      <c r="F52" s="445"/>
      <c r="G52" s="375"/>
      <c r="H52" s="375"/>
    </row>
    <row r="53" spans="1:8">
      <c r="A53" s="403" t="s">
        <v>998</v>
      </c>
      <c r="B53" s="401" t="s">
        <v>999</v>
      </c>
      <c r="C53" s="403" t="s">
        <v>67</v>
      </c>
      <c r="D53" s="467">
        <v>355</v>
      </c>
      <c r="E53" s="446"/>
      <c r="F53" s="446">
        <f>+E53*D53</f>
        <v>0</v>
      </c>
      <c r="G53" s="375"/>
      <c r="H53" s="375"/>
    </row>
    <row r="54" spans="1:8">
      <c r="A54" s="442" t="s">
        <v>1000</v>
      </c>
      <c r="B54" s="443" t="s">
        <v>463</v>
      </c>
      <c r="C54" s="442"/>
      <c r="D54" s="472"/>
      <c r="E54" s="445"/>
      <c r="F54" s="445"/>
      <c r="G54" s="375"/>
      <c r="H54" s="375"/>
    </row>
    <row r="55" spans="1:8">
      <c r="A55" s="442" t="s">
        <v>1001</v>
      </c>
      <c r="B55" s="443" t="s">
        <v>1002</v>
      </c>
      <c r="C55" s="442"/>
      <c r="D55" s="472"/>
      <c r="E55" s="445"/>
      <c r="F55" s="445"/>
      <c r="G55" s="375"/>
      <c r="H55" s="375"/>
    </row>
    <row r="56" spans="1:8">
      <c r="A56" s="527" t="s">
        <v>1005</v>
      </c>
      <c r="B56" s="401" t="s">
        <v>819</v>
      </c>
      <c r="C56" s="403" t="s">
        <v>67</v>
      </c>
      <c r="D56" s="544">
        <v>355</v>
      </c>
      <c r="E56" s="446"/>
      <c r="F56" s="446">
        <f t="shared" ref="F56:F74" si="1">+E56*D56</f>
        <v>0</v>
      </c>
      <c r="G56" s="375"/>
      <c r="H56" s="375"/>
    </row>
    <row r="57" spans="1:8">
      <c r="A57" s="527" t="s">
        <v>1006</v>
      </c>
      <c r="B57" s="401" t="s">
        <v>973</v>
      </c>
      <c r="C57" s="403" t="s">
        <v>67</v>
      </c>
      <c r="D57" s="544">
        <v>3</v>
      </c>
      <c r="E57" s="446"/>
      <c r="F57" s="446">
        <f t="shared" si="1"/>
        <v>0</v>
      </c>
      <c r="G57" s="375"/>
      <c r="H57" s="375"/>
    </row>
    <row r="58" spans="1:8">
      <c r="A58" s="442" t="s">
        <v>482</v>
      </c>
      <c r="B58" s="443" t="s">
        <v>456</v>
      </c>
      <c r="C58" s="442"/>
      <c r="D58" s="472"/>
      <c r="E58" s="445"/>
      <c r="F58" s="445"/>
      <c r="G58" s="375"/>
      <c r="H58" s="375"/>
    </row>
    <row r="59" spans="1:8">
      <c r="A59" s="403" t="s">
        <v>1008</v>
      </c>
      <c r="B59" s="401" t="s">
        <v>458</v>
      </c>
      <c r="C59" s="403" t="s">
        <v>67</v>
      </c>
      <c r="D59" s="467">
        <v>30</v>
      </c>
      <c r="E59" s="446"/>
      <c r="F59" s="446">
        <f t="shared" si="1"/>
        <v>0</v>
      </c>
      <c r="G59" s="375"/>
      <c r="H59" s="375"/>
    </row>
    <row r="60" spans="1:8">
      <c r="A60" s="403" t="s">
        <v>1009</v>
      </c>
      <c r="B60" s="401" t="s">
        <v>460</v>
      </c>
      <c r="C60" s="403" t="s">
        <v>67</v>
      </c>
      <c r="D60" s="467">
        <v>24</v>
      </c>
      <c r="E60" s="446"/>
      <c r="F60" s="446">
        <f t="shared" si="1"/>
        <v>0</v>
      </c>
      <c r="G60" s="375"/>
      <c r="H60" s="375"/>
    </row>
    <row r="61" spans="1:8">
      <c r="A61" s="442" t="s">
        <v>482</v>
      </c>
      <c r="B61" s="443" t="s">
        <v>483</v>
      </c>
      <c r="C61" s="442"/>
      <c r="D61" s="472"/>
      <c r="E61" s="445"/>
      <c r="F61" s="445"/>
      <c r="G61" s="375"/>
      <c r="H61" s="375"/>
    </row>
    <row r="62" spans="1:8">
      <c r="A62" s="403" t="s">
        <v>484</v>
      </c>
      <c r="B62" s="401" t="s">
        <v>488</v>
      </c>
      <c r="C62" s="403" t="s">
        <v>3</v>
      </c>
      <c r="D62" s="467">
        <v>1</v>
      </c>
      <c r="E62" s="446"/>
      <c r="F62" s="446">
        <f t="shared" si="1"/>
        <v>0</v>
      </c>
      <c r="G62" s="375"/>
      <c r="H62" s="375"/>
    </row>
    <row r="63" spans="1:8">
      <c r="A63" s="403" t="s">
        <v>487</v>
      </c>
      <c r="B63" s="401" t="s">
        <v>485</v>
      </c>
      <c r="C63" s="403" t="s">
        <v>3</v>
      </c>
      <c r="D63" s="467">
        <v>4</v>
      </c>
      <c r="E63" s="446"/>
      <c r="F63" s="446">
        <f t="shared" si="1"/>
        <v>0</v>
      </c>
      <c r="G63" s="375"/>
      <c r="H63" s="375"/>
    </row>
    <row r="64" spans="1:8">
      <c r="A64" s="403" t="s">
        <v>490</v>
      </c>
      <c r="B64" s="401" t="s">
        <v>1224</v>
      </c>
      <c r="C64" s="403" t="s">
        <v>3</v>
      </c>
      <c r="D64" s="467">
        <v>1</v>
      </c>
      <c r="E64" s="446"/>
      <c r="F64" s="446">
        <f t="shared" si="1"/>
        <v>0</v>
      </c>
      <c r="G64" s="375"/>
      <c r="H64" s="375"/>
    </row>
    <row r="65" spans="1:8">
      <c r="A65" s="403" t="s">
        <v>493</v>
      </c>
      <c r="B65" s="401" t="s">
        <v>494</v>
      </c>
      <c r="C65" s="403" t="s">
        <v>3</v>
      </c>
      <c r="D65" s="467">
        <v>1</v>
      </c>
      <c r="E65" s="446"/>
      <c r="F65" s="446">
        <f t="shared" si="1"/>
        <v>0</v>
      </c>
      <c r="G65" s="375"/>
      <c r="H65" s="375"/>
    </row>
    <row r="66" spans="1:8">
      <c r="A66" s="442" t="s">
        <v>1010</v>
      </c>
      <c r="B66" s="443" t="s">
        <v>72</v>
      </c>
      <c r="C66" s="442"/>
      <c r="D66" s="472"/>
      <c r="E66" s="445"/>
      <c r="F66" s="445"/>
      <c r="G66" s="375"/>
      <c r="H66" s="375"/>
    </row>
    <row r="67" spans="1:8">
      <c r="A67" s="442" t="s">
        <v>1011</v>
      </c>
      <c r="B67" s="443" t="s">
        <v>101</v>
      </c>
      <c r="C67" s="442"/>
      <c r="D67" s="472"/>
      <c r="E67" s="445"/>
      <c r="F67" s="445"/>
      <c r="G67" s="375"/>
      <c r="H67" s="375"/>
    </row>
    <row r="68" spans="1:8">
      <c r="A68" s="528" t="s">
        <v>1012</v>
      </c>
      <c r="B68" s="401" t="s">
        <v>611</v>
      </c>
      <c r="C68" s="403" t="s">
        <v>3</v>
      </c>
      <c r="D68" s="467">
        <v>1</v>
      </c>
      <c r="E68" s="446"/>
      <c r="F68" s="446">
        <f t="shared" si="1"/>
        <v>0</v>
      </c>
      <c r="G68" s="375"/>
      <c r="H68" s="375"/>
    </row>
    <row r="69" spans="1:8">
      <c r="A69" s="442" t="s">
        <v>1024</v>
      </c>
      <c r="B69" s="443" t="s">
        <v>1225</v>
      </c>
      <c r="C69" s="442"/>
      <c r="D69" s="472"/>
      <c r="E69" s="445"/>
      <c r="F69" s="445"/>
      <c r="G69" s="375"/>
      <c r="H69" s="375"/>
    </row>
    <row r="70" spans="1:8">
      <c r="A70" s="398" t="s">
        <v>1031</v>
      </c>
      <c r="B70" s="408" t="s">
        <v>98</v>
      </c>
      <c r="C70" s="403" t="s">
        <v>3</v>
      </c>
      <c r="D70" s="467">
        <v>1</v>
      </c>
      <c r="E70" s="446"/>
      <c r="F70" s="446">
        <f t="shared" si="1"/>
        <v>0</v>
      </c>
      <c r="G70" s="375"/>
      <c r="H70" s="375"/>
    </row>
    <row r="71" spans="1:8">
      <c r="A71" s="398" t="s">
        <v>1022</v>
      </c>
      <c r="B71" s="408" t="s">
        <v>77</v>
      </c>
      <c r="C71" s="403" t="s">
        <v>85</v>
      </c>
      <c r="D71" s="467">
        <v>1</v>
      </c>
      <c r="E71" s="446"/>
      <c r="F71" s="446">
        <f>+E71*D71</f>
        <v>0</v>
      </c>
      <c r="G71" s="375"/>
      <c r="H71" s="375"/>
    </row>
    <row r="72" spans="1:8">
      <c r="A72" s="442" t="s">
        <v>929</v>
      </c>
      <c r="B72" s="443" t="s">
        <v>756</v>
      </c>
      <c r="C72" s="442"/>
      <c r="D72" s="472"/>
      <c r="E72" s="445"/>
      <c r="F72" s="445"/>
      <c r="G72" s="375"/>
      <c r="H72" s="375"/>
    </row>
    <row r="73" spans="1:8">
      <c r="A73" s="403" t="s">
        <v>930</v>
      </c>
      <c r="B73" s="401" t="s">
        <v>758</v>
      </c>
      <c r="C73" s="403" t="s">
        <v>759</v>
      </c>
      <c r="D73" s="467">
        <v>0.36</v>
      </c>
      <c r="E73" s="446"/>
      <c r="F73" s="446">
        <f t="shared" si="1"/>
        <v>0</v>
      </c>
      <c r="G73" s="375"/>
      <c r="H73" s="375"/>
    </row>
    <row r="74" spans="1:8">
      <c r="A74" s="403" t="s">
        <v>781</v>
      </c>
      <c r="B74" s="401" t="s">
        <v>1226</v>
      </c>
      <c r="C74" s="403" t="s">
        <v>67</v>
      </c>
      <c r="D74" s="467">
        <v>329</v>
      </c>
      <c r="E74" s="446"/>
      <c r="F74" s="446">
        <f t="shared" si="1"/>
        <v>0</v>
      </c>
      <c r="G74" s="375"/>
      <c r="H74" s="375"/>
    </row>
    <row r="75" spans="1:8">
      <c r="A75" s="558"/>
      <c r="B75" s="512" t="s">
        <v>1191</v>
      </c>
      <c r="C75" s="513"/>
      <c r="D75" s="514"/>
      <c r="E75" s="515"/>
      <c r="F75" s="516">
        <f>SUM(F53:F74)</f>
        <v>0</v>
      </c>
      <c r="G75" s="375"/>
      <c r="H75" s="375"/>
    </row>
    <row r="76" spans="1:8">
      <c r="A76" s="558"/>
      <c r="B76" s="512" t="s">
        <v>1192</v>
      </c>
      <c r="C76" s="513"/>
      <c r="D76" s="514"/>
      <c r="E76" s="515"/>
      <c r="F76" s="516">
        <f>+F75+F46</f>
        <v>0</v>
      </c>
      <c r="G76" s="375"/>
      <c r="H76" s="375"/>
    </row>
    <row r="77" spans="1:8">
      <c r="A77" s="390"/>
      <c r="B77" s="420"/>
      <c r="C77" s="421"/>
      <c r="D77" s="532"/>
      <c r="E77" s="506"/>
      <c r="F77" s="486"/>
      <c r="G77" s="375"/>
      <c r="H77" s="375"/>
    </row>
    <row r="78" spans="1:8">
      <c r="A78" s="498" t="s">
        <v>1227</v>
      </c>
      <c r="B78" s="498"/>
      <c r="C78" s="499"/>
      <c r="D78" s="500"/>
      <c r="E78" s="501"/>
      <c r="F78" s="501"/>
      <c r="G78" s="375"/>
      <c r="H78" s="375"/>
    </row>
    <row r="79" spans="1:8">
      <c r="A79" s="420"/>
      <c r="B79" s="420"/>
      <c r="C79" s="421"/>
      <c r="D79" s="532"/>
      <c r="E79" s="506"/>
      <c r="F79" s="486"/>
      <c r="G79" s="375"/>
      <c r="H79" s="375"/>
    </row>
    <row r="80" spans="1:8">
      <c r="A80" s="438" t="s">
        <v>0</v>
      </c>
      <c r="B80" s="439" t="s">
        <v>967</v>
      </c>
      <c r="C80" s="438" t="s">
        <v>3</v>
      </c>
      <c r="D80" s="441" t="s">
        <v>839</v>
      </c>
      <c r="E80" s="441" t="s">
        <v>9</v>
      </c>
      <c r="F80" s="441" t="s">
        <v>1098</v>
      </c>
      <c r="G80" s="375"/>
      <c r="H80" s="375"/>
    </row>
    <row r="81" spans="1:8">
      <c r="A81" s="442" t="s">
        <v>1034</v>
      </c>
      <c r="B81" s="443" t="s">
        <v>827</v>
      </c>
      <c r="C81" s="442"/>
      <c r="D81" s="472"/>
      <c r="E81" s="445"/>
      <c r="F81" s="445"/>
      <c r="G81" s="375"/>
      <c r="H81" s="375"/>
    </row>
    <row r="82" spans="1:8">
      <c r="A82" s="415" t="s">
        <v>1035</v>
      </c>
      <c r="B82" s="401" t="s">
        <v>831</v>
      </c>
      <c r="C82" s="403" t="s">
        <v>67</v>
      </c>
      <c r="D82" s="544">
        <v>12</v>
      </c>
      <c r="E82" s="446"/>
      <c r="F82" s="446">
        <f>+E82*D82</f>
        <v>0</v>
      </c>
      <c r="G82" s="375"/>
      <c r="H82" s="375"/>
    </row>
    <row r="83" spans="1:8">
      <c r="A83" s="415" t="s">
        <v>1036</v>
      </c>
      <c r="B83" s="401" t="s">
        <v>834</v>
      </c>
      <c r="C83" s="403" t="s">
        <v>67</v>
      </c>
      <c r="D83" s="544">
        <v>3</v>
      </c>
      <c r="E83" s="446"/>
      <c r="F83" s="446">
        <f t="shared" ref="F83:F100" si="2">+E83*D83</f>
        <v>0</v>
      </c>
      <c r="G83" s="375"/>
      <c r="H83" s="375"/>
    </row>
    <row r="84" spans="1:8">
      <c r="A84" s="415" t="s">
        <v>837</v>
      </c>
      <c r="B84" s="401" t="s">
        <v>836</v>
      </c>
      <c r="C84" s="403" t="s">
        <v>67</v>
      </c>
      <c r="D84" s="544">
        <v>12</v>
      </c>
      <c r="E84" s="446"/>
      <c r="F84" s="446">
        <f t="shared" si="2"/>
        <v>0</v>
      </c>
      <c r="G84" s="375"/>
      <c r="H84" s="375"/>
    </row>
    <row r="85" spans="1:8">
      <c r="A85" s="442" t="s">
        <v>899</v>
      </c>
      <c r="B85" s="443" t="s">
        <v>323</v>
      </c>
      <c r="C85" s="442"/>
      <c r="D85" s="472"/>
      <c r="E85" s="445"/>
      <c r="F85" s="445"/>
      <c r="G85" s="375"/>
      <c r="H85" s="375"/>
    </row>
    <row r="86" spans="1:8">
      <c r="A86" s="398" t="s">
        <v>900</v>
      </c>
      <c r="B86" s="401" t="s">
        <v>325</v>
      </c>
      <c r="C86" s="402" t="s">
        <v>326</v>
      </c>
      <c r="D86" s="545">
        <v>3</v>
      </c>
      <c r="E86" s="446"/>
      <c r="F86" s="446">
        <f t="shared" si="2"/>
        <v>0</v>
      </c>
      <c r="G86" s="375"/>
      <c r="H86" s="375"/>
    </row>
    <row r="87" spans="1:8">
      <c r="A87" s="398" t="s">
        <v>902</v>
      </c>
      <c r="B87" s="401" t="s">
        <v>328</v>
      </c>
      <c r="C87" s="403" t="s">
        <v>326</v>
      </c>
      <c r="D87" s="467">
        <v>27</v>
      </c>
      <c r="E87" s="446"/>
      <c r="F87" s="446">
        <f t="shared" si="2"/>
        <v>0</v>
      </c>
      <c r="G87" s="375"/>
      <c r="H87" s="375"/>
    </row>
    <row r="88" spans="1:8">
      <c r="A88" s="442" t="s">
        <v>1037</v>
      </c>
      <c r="B88" s="443" t="s">
        <v>14</v>
      </c>
      <c r="C88" s="442"/>
      <c r="D88" s="472"/>
      <c r="E88" s="445"/>
      <c r="F88" s="445"/>
      <c r="G88" s="375"/>
      <c r="H88" s="375"/>
    </row>
    <row r="89" spans="1:8">
      <c r="A89" s="415" t="s">
        <v>1038</v>
      </c>
      <c r="B89" s="401" t="s">
        <v>1039</v>
      </c>
      <c r="C89" s="402" t="s">
        <v>326</v>
      </c>
      <c r="D89" s="545">
        <v>2</v>
      </c>
      <c r="E89" s="446"/>
      <c r="F89" s="446">
        <f t="shared" si="2"/>
        <v>0</v>
      </c>
      <c r="G89" s="375"/>
      <c r="H89" s="375"/>
    </row>
    <row r="90" spans="1:8">
      <c r="A90" s="415" t="s">
        <v>1040</v>
      </c>
      <c r="B90" s="401" t="s">
        <v>526</v>
      </c>
      <c r="C90" s="403" t="s">
        <v>326</v>
      </c>
      <c r="D90" s="467">
        <v>1</v>
      </c>
      <c r="E90" s="446"/>
      <c r="F90" s="446">
        <f t="shared" si="2"/>
        <v>0</v>
      </c>
      <c r="G90" s="375"/>
      <c r="H90" s="375"/>
    </row>
    <row r="91" spans="1:8">
      <c r="A91" s="415" t="s">
        <v>1041</v>
      </c>
      <c r="B91" s="401" t="s">
        <v>529</v>
      </c>
      <c r="C91" s="403" t="s">
        <v>326</v>
      </c>
      <c r="D91" s="467">
        <v>1</v>
      </c>
      <c r="E91" s="446"/>
      <c r="F91" s="446">
        <f t="shared" si="2"/>
        <v>0</v>
      </c>
      <c r="G91" s="375"/>
      <c r="H91" s="375"/>
    </row>
    <row r="92" spans="1:8">
      <c r="A92" s="415" t="s">
        <v>1042</v>
      </c>
      <c r="B92" s="401" t="s">
        <v>608</v>
      </c>
      <c r="C92" s="403" t="s">
        <v>326</v>
      </c>
      <c r="D92" s="467">
        <v>4</v>
      </c>
      <c r="E92" s="446"/>
      <c r="F92" s="446">
        <f t="shared" si="2"/>
        <v>0</v>
      </c>
      <c r="G92" s="375"/>
      <c r="H92" s="375"/>
    </row>
    <row r="93" spans="1:8">
      <c r="A93" s="415" t="s">
        <v>1043</v>
      </c>
      <c r="B93" s="401" t="s">
        <v>582</v>
      </c>
      <c r="C93" s="403" t="s">
        <v>326</v>
      </c>
      <c r="D93" s="467">
        <v>4</v>
      </c>
      <c r="E93" s="446"/>
      <c r="F93" s="446">
        <f t="shared" si="2"/>
        <v>0</v>
      </c>
      <c r="G93" s="375"/>
      <c r="H93" s="375"/>
    </row>
    <row r="94" spans="1:8">
      <c r="A94" s="415" t="s">
        <v>1044</v>
      </c>
      <c r="B94" s="401" t="s">
        <v>595</v>
      </c>
      <c r="C94" s="403" t="s">
        <v>326</v>
      </c>
      <c r="D94" s="467">
        <v>2</v>
      </c>
      <c r="E94" s="446"/>
      <c r="F94" s="446">
        <f t="shared" si="2"/>
        <v>0</v>
      </c>
      <c r="G94" s="375"/>
      <c r="H94" s="375"/>
    </row>
    <row r="95" spans="1:8">
      <c r="A95" s="415" t="s">
        <v>1045</v>
      </c>
      <c r="B95" s="401" t="s">
        <v>590</v>
      </c>
      <c r="C95" s="403" t="s">
        <v>326</v>
      </c>
      <c r="D95" s="467">
        <v>4</v>
      </c>
      <c r="E95" s="446"/>
      <c r="F95" s="446">
        <f t="shared" si="2"/>
        <v>0</v>
      </c>
      <c r="G95" s="375"/>
      <c r="H95" s="375"/>
    </row>
    <row r="96" spans="1:8">
      <c r="A96" s="415" t="s">
        <v>1046</v>
      </c>
      <c r="B96" s="401" t="s">
        <v>506</v>
      </c>
      <c r="C96" s="403" t="s">
        <v>326</v>
      </c>
      <c r="D96" s="467">
        <v>1</v>
      </c>
      <c r="E96" s="446"/>
      <c r="F96" s="446">
        <f t="shared" si="2"/>
        <v>0</v>
      </c>
      <c r="G96" s="375"/>
      <c r="H96" s="375"/>
    </row>
    <row r="97" spans="1:8">
      <c r="A97" s="415" t="s">
        <v>570</v>
      </c>
      <c r="B97" s="401" t="s">
        <v>571</v>
      </c>
      <c r="C97" s="403" t="s">
        <v>326</v>
      </c>
      <c r="D97" s="467">
        <v>1</v>
      </c>
      <c r="E97" s="446"/>
      <c r="F97" s="446">
        <f t="shared" si="2"/>
        <v>0</v>
      </c>
      <c r="G97" s="375"/>
      <c r="H97" s="375"/>
    </row>
    <row r="98" spans="1:8">
      <c r="A98" s="415" t="s">
        <v>1047</v>
      </c>
      <c r="B98" s="401" t="s">
        <v>553</v>
      </c>
      <c r="C98" s="403" t="s">
        <v>326</v>
      </c>
      <c r="D98" s="467">
        <v>1</v>
      </c>
      <c r="E98" s="446"/>
      <c r="F98" s="446">
        <f t="shared" si="2"/>
        <v>0</v>
      </c>
      <c r="G98" s="375"/>
      <c r="H98" s="375"/>
    </row>
    <row r="99" spans="1:8">
      <c r="A99" s="442" t="s">
        <v>1049</v>
      </c>
      <c r="B99" s="443" t="s">
        <v>683</v>
      </c>
      <c r="C99" s="442"/>
      <c r="D99" s="472"/>
      <c r="E99" s="445"/>
      <c r="F99" s="445"/>
      <c r="G99" s="375"/>
      <c r="H99" s="375"/>
    </row>
    <row r="100" spans="1:8">
      <c r="A100" s="398" t="s">
        <v>1054</v>
      </c>
      <c r="B100" s="401" t="s">
        <v>685</v>
      </c>
      <c r="C100" s="403" t="s">
        <v>326</v>
      </c>
      <c r="D100" s="467">
        <v>1</v>
      </c>
      <c r="E100" s="446"/>
      <c r="F100" s="446">
        <f t="shared" si="2"/>
        <v>0</v>
      </c>
      <c r="G100" s="375"/>
      <c r="H100" s="375"/>
    </row>
    <row r="101" spans="1:8">
      <c r="A101" s="558"/>
      <c r="B101" s="512" t="s">
        <v>1143</v>
      </c>
      <c r="C101" s="513"/>
      <c r="D101" s="514"/>
      <c r="E101" s="515"/>
      <c r="F101" s="516">
        <f>SUM(F82:F100)</f>
        <v>0</v>
      </c>
      <c r="G101" s="375"/>
      <c r="H101" s="375"/>
    </row>
    <row r="102" spans="1:8">
      <c r="A102" s="504"/>
      <c r="B102" s="419"/>
      <c r="C102" s="541"/>
      <c r="D102" s="533"/>
      <c r="E102" s="506"/>
      <c r="F102" s="486"/>
      <c r="G102" s="375"/>
      <c r="H102" s="375"/>
    </row>
    <row r="103" spans="1:8">
      <c r="A103" s="498" t="s">
        <v>1228</v>
      </c>
      <c r="B103" s="498"/>
      <c r="C103" s="499"/>
      <c r="D103" s="500"/>
      <c r="E103" s="501"/>
      <c r="F103" s="501"/>
      <c r="G103" s="375"/>
      <c r="H103" s="375"/>
    </row>
    <row r="104" spans="1:8">
      <c r="A104" s="390"/>
      <c r="B104" s="420"/>
      <c r="C104" s="421"/>
      <c r="D104" s="532"/>
      <c r="E104" s="506"/>
      <c r="F104" s="486"/>
      <c r="G104" s="375"/>
      <c r="H104" s="375"/>
    </row>
    <row r="105" spans="1:8">
      <c r="A105" s="438" t="s">
        <v>0</v>
      </c>
      <c r="B105" s="439" t="s">
        <v>967</v>
      </c>
      <c r="C105" s="438" t="s">
        <v>3</v>
      </c>
      <c r="D105" s="441" t="s">
        <v>839</v>
      </c>
      <c r="E105" s="441" t="s">
        <v>9</v>
      </c>
      <c r="F105" s="441" t="s">
        <v>1098</v>
      </c>
      <c r="G105" s="375"/>
      <c r="H105" s="375"/>
    </row>
    <row r="106" spans="1:8">
      <c r="A106" s="442" t="s">
        <v>773</v>
      </c>
      <c r="B106" s="443" t="s">
        <v>774</v>
      </c>
      <c r="C106" s="442"/>
      <c r="D106" s="472"/>
      <c r="E106" s="445"/>
      <c r="F106" s="445"/>
      <c r="G106" s="375"/>
      <c r="H106" s="375"/>
    </row>
    <row r="107" spans="1:8">
      <c r="A107" s="415" t="s">
        <v>785</v>
      </c>
      <c r="B107" s="401" t="s">
        <v>779</v>
      </c>
      <c r="C107" s="403" t="s">
        <v>123</v>
      </c>
      <c r="D107" s="467">
        <v>1</v>
      </c>
      <c r="E107" s="446"/>
      <c r="F107" s="446">
        <f>+E107*D107</f>
        <v>0</v>
      </c>
      <c r="G107" s="375"/>
      <c r="H107" s="375"/>
    </row>
    <row r="108" spans="1:8">
      <c r="A108" s="415" t="s">
        <v>778</v>
      </c>
      <c r="B108" s="401" t="s">
        <v>782</v>
      </c>
      <c r="C108" s="403" t="s">
        <v>783</v>
      </c>
      <c r="D108" s="467">
        <v>2</v>
      </c>
      <c r="E108" s="446"/>
      <c r="F108" s="446">
        <f t="shared" ref="F108:F115" si="3">+E108*D108</f>
        <v>0</v>
      </c>
      <c r="G108" s="375"/>
      <c r="H108" s="375"/>
    </row>
    <row r="109" spans="1:8">
      <c r="A109" s="415" t="s">
        <v>784</v>
      </c>
      <c r="B109" s="401" t="s">
        <v>787</v>
      </c>
      <c r="C109" s="403" t="s">
        <v>783</v>
      </c>
      <c r="D109" s="467">
        <v>3.5</v>
      </c>
      <c r="E109" s="446"/>
      <c r="F109" s="446">
        <f t="shared" si="3"/>
        <v>0</v>
      </c>
      <c r="G109" s="375"/>
      <c r="H109" s="375"/>
    </row>
    <row r="110" spans="1:8">
      <c r="A110" s="415" t="s">
        <v>788</v>
      </c>
      <c r="B110" s="401" t="s">
        <v>790</v>
      </c>
      <c r="C110" s="403" t="s">
        <v>783</v>
      </c>
      <c r="D110" s="467">
        <v>4</v>
      </c>
      <c r="E110" s="446"/>
      <c r="F110" s="446">
        <f t="shared" si="3"/>
        <v>0</v>
      </c>
      <c r="G110" s="375"/>
      <c r="H110" s="375"/>
    </row>
    <row r="111" spans="1:8">
      <c r="A111" s="415" t="s">
        <v>791</v>
      </c>
      <c r="B111" s="401" t="s">
        <v>793</v>
      </c>
      <c r="C111" s="403" t="s">
        <v>794</v>
      </c>
      <c r="D111" s="467">
        <v>2.5</v>
      </c>
      <c r="E111" s="446"/>
      <c r="F111" s="446">
        <f t="shared" si="3"/>
        <v>0</v>
      </c>
      <c r="G111" s="375"/>
      <c r="H111" s="375"/>
    </row>
    <row r="112" spans="1:8">
      <c r="A112" s="415" t="s">
        <v>796</v>
      </c>
      <c r="B112" s="401" t="s">
        <v>798</v>
      </c>
      <c r="C112" s="403" t="s">
        <v>85</v>
      </c>
      <c r="D112" s="467">
        <v>1</v>
      </c>
      <c r="E112" s="446"/>
      <c r="F112" s="446">
        <f t="shared" si="3"/>
        <v>0</v>
      </c>
      <c r="G112" s="375"/>
      <c r="H112" s="375"/>
    </row>
    <row r="113" spans="1:8">
      <c r="A113" s="415" t="s">
        <v>799</v>
      </c>
      <c r="B113" s="401" t="s">
        <v>22</v>
      </c>
      <c r="C113" s="403"/>
      <c r="D113" s="467"/>
      <c r="E113" s="417"/>
      <c r="F113" s="446"/>
      <c r="G113" s="375"/>
      <c r="H113" s="375"/>
    </row>
    <row r="114" spans="1:8">
      <c r="A114" s="415" t="s">
        <v>801</v>
      </c>
      <c r="B114" s="401" t="s">
        <v>1229</v>
      </c>
      <c r="C114" s="403" t="s">
        <v>67</v>
      </c>
      <c r="D114" s="467">
        <v>9</v>
      </c>
      <c r="E114" s="446"/>
      <c r="F114" s="446">
        <f t="shared" si="3"/>
        <v>0</v>
      </c>
      <c r="G114" s="375"/>
      <c r="H114" s="375"/>
    </row>
    <row r="115" spans="1:8">
      <c r="A115" s="415" t="s">
        <v>808</v>
      </c>
      <c r="B115" s="401" t="s">
        <v>809</v>
      </c>
      <c r="C115" s="403" t="s">
        <v>85</v>
      </c>
      <c r="D115" s="467">
        <v>3</v>
      </c>
      <c r="E115" s="446"/>
      <c r="F115" s="446">
        <f t="shared" si="3"/>
        <v>0</v>
      </c>
      <c r="G115" s="375"/>
      <c r="H115" s="375"/>
    </row>
    <row r="116" spans="1:8">
      <c r="A116" s="558"/>
      <c r="B116" s="512" t="s">
        <v>1187</v>
      </c>
      <c r="C116" s="513"/>
      <c r="D116" s="514"/>
      <c r="E116" s="515"/>
      <c r="F116" s="516">
        <f>SUM(F107:F115)</f>
        <v>0</v>
      </c>
      <c r="G116" s="375"/>
      <c r="H116" s="375"/>
    </row>
    <row r="117" spans="1:8">
      <c r="A117" s="558"/>
      <c r="B117" s="512" t="s">
        <v>1192</v>
      </c>
      <c r="C117" s="513"/>
      <c r="D117" s="514"/>
      <c r="E117" s="515"/>
      <c r="F117" s="516">
        <f>+F116+F101</f>
        <v>0</v>
      </c>
      <c r="G117" s="375"/>
      <c r="H117" s="375"/>
    </row>
    <row r="118" spans="1:8">
      <c r="A118" s="390"/>
      <c r="B118" s="420"/>
      <c r="C118" s="421"/>
      <c r="D118" s="547"/>
      <c r="E118" s="506"/>
      <c r="F118" s="486"/>
      <c r="G118" s="375"/>
      <c r="H118" s="375"/>
    </row>
    <row r="119" spans="1:8">
      <c r="A119" s="390"/>
      <c r="B119" s="420"/>
      <c r="C119" s="421"/>
      <c r="D119" s="532"/>
      <c r="E119" s="506"/>
      <c r="F119" s="486"/>
      <c r="G119" s="375"/>
      <c r="H119" s="375"/>
    </row>
    <row r="120" spans="1:8">
      <c r="A120" s="498" t="s">
        <v>1230</v>
      </c>
      <c r="B120" s="498"/>
      <c r="C120" s="499"/>
      <c r="D120" s="500"/>
      <c r="E120" s="501"/>
      <c r="F120" s="501"/>
      <c r="G120" s="375"/>
      <c r="H120" s="375"/>
    </row>
    <row r="121" spans="1:8">
      <c r="A121" s="390"/>
      <c r="B121" s="419"/>
      <c r="C121" s="421"/>
      <c r="D121" s="532"/>
      <c r="E121" s="506"/>
      <c r="F121" s="486"/>
      <c r="G121" s="375"/>
      <c r="H121" s="375"/>
    </row>
    <row r="122" spans="1:8" ht="15">
      <c r="A122" s="438" t="s">
        <v>0</v>
      </c>
      <c r="B122" s="439" t="s">
        <v>1155</v>
      </c>
      <c r="C122" s="438" t="s">
        <v>3</v>
      </c>
      <c r="D122" s="441" t="s">
        <v>839</v>
      </c>
      <c r="E122" s="441" t="s">
        <v>1156</v>
      </c>
      <c r="F122" s="441" t="s">
        <v>1231</v>
      </c>
      <c r="G122" s="375"/>
      <c r="H122" s="375"/>
    </row>
    <row r="123" spans="1:8">
      <c r="A123" s="442" t="s">
        <v>931</v>
      </c>
      <c r="B123" s="443" t="s">
        <v>206</v>
      </c>
      <c r="C123" s="442"/>
      <c r="D123" s="472"/>
      <c r="E123" s="445"/>
      <c r="F123" s="445"/>
      <c r="G123" s="375"/>
      <c r="H123" s="375"/>
    </row>
    <row r="124" spans="1:8">
      <c r="A124" s="442" t="s">
        <v>932</v>
      </c>
      <c r="B124" s="443" t="s">
        <v>208</v>
      </c>
      <c r="C124" s="442"/>
      <c r="D124" s="472"/>
      <c r="E124" s="445"/>
      <c r="F124" s="445"/>
      <c r="G124" s="375"/>
      <c r="H124" s="375"/>
    </row>
    <row r="125" spans="1:8">
      <c r="A125" s="406" t="s">
        <v>207</v>
      </c>
      <c r="B125" s="401" t="s">
        <v>217</v>
      </c>
      <c r="C125" s="398" t="s">
        <v>175</v>
      </c>
      <c r="D125" s="543">
        <v>1</v>
      </c>
      <c r="E125" s="446"/>
      <c r="F125" s="446">
        <f>+E125*D125</f>
        <v>0</v>
      </c>
      <c r="G125" s="375"/>
      <c r="H125" s="375"/>
    </row>
    <row r="126" spans="1:8">
      <c r="A126" s="442" t="s">
        <v>1232</v>
      </c>
      <c r="B126" s="443" t="s">
        <v>220</v>
      </c>
      <c r="C126" s="442"/>
      <c r="D126" s="472"/>
      <c r="E126" s="445"/>
      <c r="F126" s="445"/>
      <c r="G126" s="375"/>
      <c r="H126" s="375"/>
    </row>
    <row r="127" spans="1:8">
      <c r="A127" s="406" t="s">
        <v>934</v>
      </c>
      <c r="B127" s="401" t="s">
        <v>223</v>
      </c>
      <c r="C127" s="398" t="s">
        <v>224</v>
      </c>
      <c r="D127" s="543">
        <v>5</v>
      </c>
      <c r="E127" s="446"/>
      <c r="F127" s="446">
        <f t="shared" ref="F127:F145" si="4">+E127*D127</f>
        <v>0</v>
      </c>
      <c r="G127" s="375"/>
      <c r="H127" s="375"/>
    </row>
    <row r="128" spans="1:8">
      <c r="A128" s="406" t="s">
        <v>936</v>
      </c>
      <c r="B128" s="401" t="s">
        <v>229</v>
      </c>
      <c r="C128" s="398" t="s">
        <v>224</v>
      </c>
      <c r="D128" s="543">
        <v>1</v>
      </c>
      <c r="E128" s="446"/>
      <c r="F128" s="446">
        <f t="shared" si="4"/>
        <v>0</v>
      </c>
      <c r="G128" s="375"/>
      <c r="H128" s="375"/>
    </row>
    <row r="129" spans="1:8">
      <c r="A129" s="406" t="s">
        <v>937</v>
      </c>
      <c r="B129" s="401" t="s">
        <v>126</v>
      </c>
      <c r="C129" s="398" t="s">
        <v>67</v>
      </c>
      <c r="D129" s="543">
        <v>500</v>
      </c>
      <c r="E129" s="446"/>
      <c r="F129" s="446">
        <f t="shared" si="4"/>
        <v>0</v>
      </c>
      <c r="G129" s="375"/>
      <c r="H129" s="375"/>
    </row>
    <row r="130" spans="1:8">
      <c r="A130" s="406" t="s">
        <v>938</v>
      </c>
      <c r="B130" s="401" t="s">
        <v>122</v>
      </c>
      <c r="C130" s="398" t="s">
        <v>123</v>
      </c>
      <c r="D130" s="543">
        <v>1</v>
      </c>
      <c r="E130" s="446"/>
      <c r="F130" s="446">
        <f t="shared" si="4"/>
        <v>0</v>
      </c>
      <c r="G130" s="375"/>
      <c r="H130" s="375"/>
    </row>
    <row r="131" spans="1:8">
      <c r="A131" s="442" t="s">
        <v>939</v>
      </c>
      <c r="B131" s="443" t="s">
        <v>152</v>
      </c>
      <c r="C131" s="442"/>
      <c r="D131" s="472"/>
      <c r="E131" s="445"/>
      <c r="F131" s="445"/>
      <c r="G131" s="375"/>
      <c r="H131" s="375"/>
    </row>
    <row r="132" spans="1:8">
      <c r="A132" s="406" t="s">
        <v>153</v>
      </c>
      <c r="B132" s="401" t="s">
        <v>154</v>
      </c>
      <c r="C132" s="398" t="s">
        <v>155</v>
      </c>
      <c r="D132" s="543">
        <v>1</v>
      </c>
      <c r="E132" s="446"/>
      <c r="F132" s="446">
        <f t="shared" si="4"/>
        <v>0</v>
      </c>
      <c r="G132" s="375"/>
      <c r="H132" s="375"/>
    </row>
    <row r="133" spans="1:8">
      <c r="A133" s="442" t="s">
        <v>940</v>
      </c>
      <c r="B133" s="443" t="s">
        <v>144</v>
      </c>
      <c r="C133" s="442"/>
      <c r="D133" s="472"/>
      <c r="E133" s="445"/>
      <c r="F133" s="445"/>
      <c r="G133" s="375"/>
      <c r="H133" s="375"/>
    </row>
    <row r="134" spans="1:8">
      <c r="A134" s="406" t="s">
        <v>941</v>
      </c>
      <c r="B134" s="401" t="s">
        <v>150</v>
      </c>
      <c r="C134" s="398" t="s">
        <v>175</v>
      </c>
      <c r="D134" s="546">
        <v>45</v>
      </c>
      <c r="E134" s="446"/>
      <c r="F134" s="446">
        <f t="shared" si="4"/>
        <v>0</v>
      </c>
      <c r="G134" s="375"/>
      <c r="H134" s="375"/>
    </row>
    <row r="135" spans="1:8">
      <c r="A135" s="406" t="s">
        <v>942</v>
      </c>
      <c r="B135" s="401" t="s">
        <v>148</v>
      </c>
      <c r="C135" s="398" t="s">
        <v>175</v>
      </c>
      <c r="D135" s="546">
        <v>19</v>
      </c>
      <c r="E135" s="446"/>
      <c r="F135" s="446">
        <f t="shared" si="4"/>
        <v>0</v>
      </c>
      <c r="G135" s="375"/>
      <c r="H135" s="375"/>
    </row>
    <row r="136" spans="1:8">
      <c r="A136" s="442" t="s">
        <v>943</v>
      </c>
      <c r="B136" s="443" t="s">
        <v>162</v>
      </c>
      <c r="C136" s="442"/>
      <c r="D136" s="472"/>
      <c r="E136" s="445"/>
      <c r="F136" s="445"/>
      <c r="G136" s="375"/>
      <c r="H136" s="375"/>
    </row>
    <row r="137" spans="1:8" ht="27.6">
      <c r="A137" s="406" t="s">
        <v>944</v>
      </c>
      <c r="B137" s="401" t="s">
        <v>164</v>
      </c>
      <c r="C137" s="398" t="s">
        <v>175</v>
      </c>
      <c r="D137" s="543">
        <v>12</v>
      </c>
      <c r="E137" s="446"/>
      <c r="F137" s="446">
        <f t="shared" si="4"/>
        <v>0</v>
      </c>
      <c r="G137" s="375"/>
      <c r="H137" s="375"/>
    </row>
    <row r="138" spans="1:8">
      <c r="A138" s="442" t="s">
        <v>946</v>
      </c>
      <c r="B138" s="443" t="s">
        <v>171</v>
      </c>
      <c r="C138" s="442"/>
      <c r="D138" s="472"/>
      <c r="E138" s="445"/>
      <c r="F138" s="445"/>
      <c r="G138" s="375"/>
      <c r="H138" s="375"/>
    </row>
    <row r="139" spans="1:8">
      <c r="A139" s="406" t="s">
        <v>951</v>
      </c>
      <c r="B139" s="401" t="s">
        <v>188</v>
      </c>
      <c r="C139" s="398" t="s">
        <v>175</v>
      </c>
      <c r="D139" s="543">
        <v>4</v>
      </c>
      <c r="E139" s="446"/>
      <c r="F139" s="446">
        <f t="shared" si="4"/>
        <v>0</v>
      </c>
      <c r="G139" s="375"/>
      <c r="H139" s="375"/>
    </row>
    <row r="140" spans="1:8">
      <c r="A140" s="406" t="s">
        <v>952</v>
      </c>
      <c r="B140" s="401" t="s">
        <v>174</v>
      </c>
      <c r="C140" s="398" t="s">
        <v>175</v>
      </c>
      <c r="D140" s="543">
        <v>4</v>
      </c>
      <c r="E140" s="446"/>
      <c r="F140" s="446">
        <f t="shared" si="4"/>
        <v>0</v>
      </c>
      <c r="G140" s="375"/>
      <c r="H140" s="375"/>
    </row>
    <row r="141" spans="1:8">
      <c r="A141" s="406" t="s">
        <v>953</v>
      </c>
      <c r="B141" s="401" t="s">
        <v>180</v>
      </c>
      <c r="C141" s="398" t="s">
        <v>123</v>
      </c>
      <c r="D141" s="543">
        <v>1</v>
      </c>
      <c r="E141" s="446"/>
      <c r="F141" s="446">
        <f t="shared" si="4"/>
        <v>0</v>
      </c>
      <c r="G141" s="375"/>
      <c r="H141" s="375"/>
    </row>
    <row r="142" spans="1:8">
      <c r="A142" s="406" t="s">
        <v>959</v>
      </c>
      <c r="B142" s="401" t="s">
        <v>193</v>
      </c>
      <c r="C142" s="398" t="s">
        <v>175</v>
      </c>
      <c r="D142" s="543">
        <v>1</v>
      </c>
      <c r="E142" s="446"/>
      <c r="F142" s="446">
        <f>+E142*D142</f>
        <v>0</v>
      </c>
      <c r="G142" s="375"/>
      <c r="H142" s="375"/>
    </row>
    <row r="143" spans="1:8">
      <c r="A143" s="406" t="s">
        <v>960</v>
      </c>
      <c r="B143" s="401" t="s">
        <v>196</v>
      </c>
      <c r="C143" s="398" t="s">
        <v>175</v>
      </c>
      <c r="D143" s="543">
        <v>1</v>
      </c>
      <c r="E143" s="446"/>
      <c r="F143" s="446">
        <f>+E143*D143</f>
        <v>0</v>
      </c>
      <c r="G143" s="375"/>
      <c r="H143" s="375"/>
    </row>
    <row r="144" spans="1:8">
      <c r="A144" s="442" t="s">
        <v>963</v>
      </c>
      <c r="B144" s="443" t="s">
        <v>157</v>
      </c>
      <c r="C144" s="442"/>
      <c r="D144" s="472"/>
      <c r="E144" s="445"/>
      <c r="F144" s="445"/>
      <c r="G144" s="375"/>
      <c r="H144" s="375"/>
    </row>
    <row r="145" spans="1:8">
      <c r="A145" s="406" t="s">
        <v>964</v>
      </c>
      <c r="B145" s="401" t="s">
        <v>159</v>
      </c>
      <c r="C145" s="398" t="s">
        <v>175</v>
      </c>
      <c r="D145" s="543">
        <v>1</v>
      </c>
      <c r="E145" s="446"/>
      <c r="F145" s="446">
        <f t="shared" si="4"/>
        <v>0</v>
      </c>
      <c r="G145" s="375"/>
      <c r="H145" s="375"/>
    </row>
    <row r="146" spans="1:8">
      <c r="A146" s="558"/>
      <c r="B146" s="512" t="s">
        <v>1157</v>
      </c>
      <c r="C146" s="513"/>
      <c r="D146" s="514"/>
      <c r="E146" s="515"/>
      <c r="F146" s="516">
        <f>SUM(F125:F145)</f>
        <v>0</v>
      </c>
      <c r="G146" s="375"/>
      <c r="H146" s="375"/>
    </row>
    <row r="147" spans="1:8">
      <c r="A147" s="418"/>
      <c r="B147" s="420"/>
      <c r="C147" s="421"/>
      <c r="D147" s="532"/>
      <c r="E147" s="506"/>
      <c r="F147" s="486"/>
      <c r="G147" s="375"/>
      <c r="H147" s="375"/>
    </row>
    <row r="148" spans="1:8">
      <c r="A148" s="394"/>
      <c r="B148" s="559" t="s">
        <v>1233</v>
      </c>
      <c r="C148" s="562"/>
      <c r="D148" s="563"/>
      <c r="E148" s="559"/>
      <c r="F148" s="516">
        <f>+F146+F117+F76</f>
        <v>0</v>
      </c>
      <c r="G148" s="375"/>
      <c r="H148" s="375"/>
    </row>
    <row r="149" spans="1:8">
      <c r="A149" s="394"/>
      <c r="B149" s="559" t="s">
        <v>1195</v>
      </c>
      <c r="C149" s="562"/>
      <c r="D149" s="563"/>
      <c r="E149" s="559"/>
      <c r="F149" s="516">
        <f>+F148*0.18</f>
        <v>0</v>
      </c>
      <c r="G149" s="375"/>
      <c r="H149" s="375"/>
    </row>
    <row r="150" spans="1:8">
      <c r="A150" s="394"/>
      <c r="B150" s="559" t="s">
        <v>1196</v>
      </c>
      <c r="C150" s="562"/>
      <c r="D150" s="563"/>
      <c r="E150" s="559"/>
      <c r="F150" s="516">
        <f>SUM(F148:F149)</f>
        <v>0</v>
      </c>
      <c r="G150" s="375"/>
      <c r="H150" s="375"/>
    </row>
    <row r="151" spans="1:8">
      <c r="A151" s="390"/>
      <c r="B151" s="420"/>
      <c r="C151" s="421"/>
      <c r="D151" s="532"/>
      <c r="E151" s="506"/>
      <c r="F151" s="486"/>
      <c r="G151" s="375"/>
      <c r="H151" s="375"/>
    </row>
  </sheetData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6"/>
  <sheetViews>
    <sheetView zoomScale="85" zoomScaleNormal="85" workbookViewId="0">
      <selection activeCell="H176" sqref="H176"/>
    </sheetView>
  </sheetViews>
  <sheetFormatPr defaultColWidth="11.42578125" defaultRowHeight="14.45"/>
  <cols>
    <col min="1" max="1" width="16.5703125" style="435" bestFit="1" customWidth="1"/>
    <col min="2" max="2" width="68" style="435" customWidth="1"/>
    <col min="3" max="3" width="8.85546875" style="389" customWidth="1"/>
    <col min="4" max="4" width="12" style="534" customWidth="1"/>
    <col min="5" max="5" width="15.28515625" style="435" customWidth="1"/>
    <col min="6" max="6" width="21.7109375" style="390" bestFit="1" customWidth="1"/>
  </cols>
  <sheetData>
    <row r="1" spans="1:12">
      <c r="A1" s="390"/>
      <c r="B1" s="420"/>
      <c r="C1" s="421"/>
      <c r="E1" s="420"/>
      <c r="G1" s="374"/>
    </row>
    <row r="2" spans="1:12" ht="34.5" customHeight="1">
      <c r="A2" s="585" t="s">
        <v>1234</v>
      </c>
      <c r="B2" s="585"/>
      <c r="C2" s="585"/>
      <c r="D2" s="585"/>
      <c r="E2" s="585"/>
      <c r="F2" s="585"/>
      <c r="G2" s="375"/>
      <c r="H2" s="375"/>
      <c r="I2" s="375"/>
      <c r="J2" s="375"/>
      <c r="K2" s="375"/>
      <c r="L2" s="374"/>
    </row>
    <row r="3" spans="1:12">
      <c r="A3" s="390"/>
      <c r="B3" s="420"/>
      <c r="C3" s="421"/>
      <c r="E3" s="420"/>
      <c r="G3" s="374"/>
      <c r="H3" s="375"/>
      <c r="I3" s="375"/>
      <c r="J3" s="375"/>
      <c r="K3" s="375"/>
      <c r="L3" s="375"/>
    </row>
    <row r="4" spans="1:12">
      <c r="A4" s="498" t="s">
        <v>1235</v>
      </c>
      <c r="B4" s="498"/>
      <c r="C4" s="499"/>
      <c r="D4" s="500"/>
      <c r="E4" s="566"/>
      <c r="F4" s="566"/>
      <c r="G4" s="374"/>
      <c r="H4" s="375"/>
      <c r="I4" s="375"/>
      <c r="J4" s="375"/>
      <c r="K4" s="375"/>
      <c r="L4" s="375"/>
    </row>
    <row r="5" spans="1:12">
      <c r="A5" s="390"/>
      <c r="B5" s="420"/>
      <c r="C5" s="421"/>
      <c r="E5" s="390"/>
      <c r="G5" s="374"/>
      <c r="H5" s="375"/>
      <c r="I5" s="375"/>
      <c r="J5" s="375"/>
      <c r="K5" s="375"/>
      <c r="L5" s="375"/>
    </row>
    <row r="6" spans="1:12">
      <c r="A6" s="438" t="s">
        <v>0</v>
      </c>
      <c r="B6" s="439" t="s">
        <v>967</v>
      </c>
      <c r="C6" s="438" t="s">
        <v>3</v>
      </c>
      <c r="D6" s="441" t="s">
        <v>839</v>
      </c>
      <c r="E6" s="567" t="s">
        <v>1097</v>
      </c>
      <c r="F6" s="567" t="s">
        <v>1098</v>
      </c>
      <c r="G6" s="368"/>
      <c r="H6" s="375"/>
      <c r="I6" s="375"/>
      <c r="J6" s="375"/>
      <c r="K6" s="375"/>
      <c r="L6" s="375"/>
    </row>
    <row r="7" spans="1:12">
      <c r="A7" s="442" t="s">
        <v>715</v>
      </c>
      <c r="B7" s="443" t="s">
        <v>716</v>
      </c>
      <c r="C7" s="442"/>
      <c r="D7" s="472"/>
      <c r="E7" s="568"/>
      <c r="F7" s="568" t="s">
        <v>28</v>
      </c>
      <c r="H7" s="375"/>
      <c r="I7" s="375"/>
      <c r="J7" s="375"/>
      <c r="K7" s="375"/>
      <c r="L7" s="375"/>
    </row>
    <row r="8" spans="1:12">
      <c r="A8" s="398" t="s">
        <v>717</v>
      </c>
      <c r="B8" s="399" t="s">
        <v>720</v>
      </c>
      <c r="C8" s="398" t="s">
        <v>123</v>
      </c>
      <c r="D8" s="543">
        <v>1</v>
      </c>
      <c r="E8" s="569"/>
      <c r="F8" s="569">
        <f>+E8*D8</f>
        <v>0</v>
      </c>
      <c r="H8" s="375"/>
      <c r="I8" s="375"/>
      <c r="J8" s="375"/>
      <c r="K8" s="375"/>
      <c r="L8" s="375"/>
    </row>
    <row r="9" spans="1:12">
      <c r="A9" s="442" t="s">
        <v>1236</v>
      </c>
      <c r="B9" s="443" t="s">
        <v>817</v>
      </c>
      <c r="C9" s="442"/>
      <c r="D9" s="472"/>
      <c r="E9" s="568"/>
      <c r="F9" s="568"/>
      <c r="G9" s="374"/>
      <c r="H9" s="375"/>
      <c r="I9" s="375"/>
      <c r="J9" s="375"/>
      <c r="K9" s="375"/>
      <c r="L9" s="375"/>
    </row>
    <row r="10" spans="1:12">
      <c r="A10" s="415" t="s">
        <v>971</v>
      </c>
      <c r="B10" s="401" t="s">
        <v>1237</v>
      </c>
      <c r="C10" s="403" t="s">
        <v>67</v>
      </c>
      <c r="D10" s="544">
        <v>35</v>
      </c>
      <c r="E10" s="569"/>
      <c r="F10" s="569">
        <f t="shared" ref="F10:F44" si="0">+E10*D10</f>
        <v>0</v>
      </c>
      <c r="G10" s="374"/>
      <c r="H10" s="375"/>
      <c r="I10" s="375"/>
      <c r="J10" s="375"/>
      <c r="K10" s="375"/>
      <c r="L10" s="375"/>
    </row>
    <row r="11" spans="1:12">
      <c r="A11" s="442" t="s">
        <v>974</v>
      </c>
      <c r="B11" s="443" t="s">
        <v>812</v>
      </c>
      <c r="C11" s="442"/>
      <c r="D11" s="472"/>
      <c r="E11" s="568"/>
      <c r="F11" s="568"/>
      <c r="G11" s="374"/>
      <c r="H11" s="375"/>
      <c r="I11" s="375"/>
      <c r="J11" s="375"/>
      <c r="K11" s="375"/>
      <c r="L11" s="375"/>
    </row>
    <row r="12" spans="1:12">
      <c r="A12" s="402" t="s">
        <v>24</v>
      </c>
      <c r="B12" s="407" t="s">
        <v>25</v>
      </c>
      <c r="C12" s="402"/>
      <c r="D12" s="545"/>
      <c r="E12" s="399"/>
      <c r="F12" s="569"/>
      <c r="G12" s="374"/>
      <c r="H12" s="375"/>
      <c r="I12" s="375"/>
      <c r="J12" s="375"/>
      <c r="K12" s="375"/>
      <c r="L12" s="375"/>
    </row>
    <row r="13" spans="1:12">
      <c r="A13" s="403" t="s">
        <v>975</v>
      </c>
      <c r="B13" s="401" t="s">
        <v>458</v>
      </c>
      <c r="C13" s="403" t="s">
        <v>67</v>
      </c>
      <c r="D13" s="467">
        <v>30</v>
      </c>
      <c r="E13" s="569"/>
      <c r="F13" s="569">
        <f t="shared" si="0"/>
        <v>0</v>
      </c>
      <c r="G13" s="374"/>
      <c r="H13" s="375"/>
      <c r="I13" s="379"/>
      <c r="J13" s="375"/>
      <c r="K13" s="375"/>
      <c r="L13" s="375"/>
    </row>
    <row r="14" spans="1:12">
      <c r="A14" s="403" t="s">
        <v>976</v>
      </c>
      <c r="B14" s="401" t="s">
        <v>460</v>
      </c>
      <c r="C14" s="403" t="s">
        <v>67</v>
      </c>
      <c r="D14" s="467">
        <v>24</v>
      </c>
      <c r="E14" s="569"/>
      <c r="F14" s="569">
        <f t="shared" si="0"/>
        <v>0</v>
      </c>
      <c r="G14" s="374"/>
      <c r="H14" s="375"/>
      <c r="I14" s="375"/>
      <c r="J14" s="375"/>
      <c r="K14" s="375"/>
      <c r="L14" s="375"/>
    </row>
    <row r="15" spans="1:12">
      <c r="A15" s="442" t="s">
        <v>977</v>
      </c>
      <c r="B15" s="443" t="s">
        <v>16</v>
      </c>
      <c r="C15" s="442"/>
      <c r="D15" s="472"/>
      <c r="E15" s="568"/>
      <c r="F15" s="568"/>
      <c r="G15" s="374"/>
      <c r="H15" s="375"/>
      <c r="I15" s="375"/>
      <c r="J15" s="375"/>
      <c r="K15" s="375"/>
      <c r="L15" s="375"/>
    </row>
    <row r="16" spans="1:12">
      <c r="A16" s="442" t="s">
        <v>574</v>
      </c>
      <c r="B16" s="443" t="s">
        <v>575</v>
      </c>
      <c r="C16" s="442"/>
      <c r="D16" s="472"/>
      <c r="E16" s="568"/>
      <c r="F16" s="568"/>
      <c r="G16" s="374"/>
      <c r="H16" s="375"/>
      <c r="I16" s="375"/>
      <c r="J16" s="375"/>
      <c r="K16" s="375"/>
      <c r="L16" s="375"/>
    </row>
    <row r="17" spans="1:12">
      <c r="A17" s="528" t="s">
        <v>586</v>
      </c>
      <c r="B17" s="401" t="s">
        <v>541</v>
      </c>
      <c r="C17" s="403" t="s">
        <v>326</v>
      </c>
      <c r="D17" s="467">
        <v>1</v>
      </c>
      <c r="E17" s="569"/>
      <c r="F17" s="569">
        <f t="shared" si="0"/>
        <v>0</v>
      </c>
      <c r="G17" s="374"/>
      <c r="H17" s="375"/>
      <c r="I17" s="375"/>
      <c r="J17" s="375"/>
      <c r="K17" s="375"/>
      <c r="L17" s="375"/>
    </row>
    <row r="18" spans="1:12">
      <c r="A18" s="528" t="s">
        <v>579</v>
      </c>
      <c r="B18" s="401" t="s">
        <v>578</v>
      </c>
      <c r="C18" s="403" t="s">
        <v>326</v>
      </c>
      <c r="D18" s="467">
        <v>4</v>
      </c>
      <c r="E18" s="569"/>
      <c r="F18" s="569">
        <f t="shared" si="0"/>
        <v>0</v>
      </c>
      <c r="G18" s="374"/>
      <c r="H18" s="375"/>
      <c r="I18" s="375"/>
      <c r="J18" s="375"/>
      <c r="K18" s="375"/>
      <c r="L18" s="375"/>
    </row>
    <row r="19" spans="1:12">
      <c r="A19" s="442" t="s">
        <v>1137</v>
      </c>
      <c r="B19" s="443" t="s">
        <v>599</v>
      </c>
      <c r="C19" s="442"/>
      <c r="D19" s="472"/>
      <c r="E19" s="568"/>
      <c r="F19" s="568"/>
      <c r="G19" s="374"/>
      <c r="H19" s="375"/>
      <c r="I19" s="375"/>
      <c r="J19" s="375"/>
      <c r="K19" s="375"/>
      <c r="L19" s="375"/>
    </row>
    <row r="20" spans="1:12">
      <c r="A20" s="415" t="s">
        <v>981</v>
      </c>
      <c r="B20" s="401" t="s">
        <v>605</v>
      </c>
      <c r="C20" s="403" t="s">
        <v>326</v>
      </c>
      <c r="D20" s="467">
        <v>6</v>
      </c>
      <c r="E20" s="569"/>
      <c r="F20" s="569">
        <f t="shared" si="0"/>
        <v>0</v>
      </c>
      <c r="G20" s="374"/>
      <c r="H20" s="375"/>
      <c r="I20" s="375"/>
      <c r="J20" s="375"/>
      <c r="K20" s="375"/>
      <c r="L20" s="375"/>
    </row>
    <row r="21" spans="1:12">
      <c r="A21" s="415" t="s">
        <v>982</v>
      </c>
      <c r="B21" s="401" t="s">
        <v>602</v>
      </c>
      <c r="C21" s="403" t="s">
        <v>326</v>
      </c>
      <c r="D21" s="467">
        <v>12</v>
      </c>
      <c r="E21" s="569"/>
      <c r="F21" s="569">
        <f t="shared" si="0"/>
        <v>0</v>
      </c>
      <c r="G21" s="374"/>
      <c r="H21" s="375"/>
      <c r="I21" s="375"/>
      <c r="J21" s="375"/>
      <c r="K21" s="375"/>
      <c r="L21" s="375"/>
    </row>
    <row r="22" spans="1:12">
      <c r="A22" s="442" t="s">
        <v>1138</v>
      </c>
      <c r="B22" s="443" t="s">
        <v>592</v>
      </c>
      <c r="C22" s="442"/>
      <c r="D22" s="472"/>
      <c r="E22" s="568"/>
      <c r="F22" s="568"/>
      <c r="G22" s="374"/>
      <c r="H22" s="375"/>
      <c r="I22" s="375"/>
      <c r="J22" s="375"/>
      <c r="K22" s="375"/>
      <c r="L22" s="375"/>
    </row>
    <row r="23" spans="1:12">
      <c r="A23" s="415" t="s">
        <v>1139</v>
      </c>
      <c r="B23" s="401" t="s">
        <v>595</v>
      </c>
      <c r="C23" s="403" t="s">
        <v>326</v>
      </c>
      <c r="D23" s="467">
        <v>2</v>
      </c>
      <c r="E23" s="569"/>
      <c r="F23" s="569">
        <f t="shared" si="0"/>
        <v>0</v>
      </c>
      <c r="G23" s="374"/>
      <c r="H23" s="375"/>
      <c r="I23" s="375"/>
      <c r="J23" s="375"/>
      <c r="K23" s="375"/>
      <c r="L23" s="375"/>
    </row>
    <row r="24" spans="1:12">
      <c r="A24" s="442" t="s">
        <v>1140</v>
      </c>
      <c r="B24" s="443" t="s">
        <v>497</v>
      </c>
      <c r="C24" s="442"/>
      <c r="D24" s="472"/>
      <c r="E24" s="568"/>
      <c r="F24" s="568"/>
      <c r="G24" s="374"/>
      <c r="H24" s="375"/>
      <c r="I24" s="375"/>
      <c r="J24" s="375"/>
      <c r="K24" s="375"/>
      <c r="L24" s="375"/>
    </row>
    <row r="25" spans="1:12">
      <c r="A25" s="442" t="s">
        <v>507</v>
      </c>
      <c r="B25" s="443" t="s">
        <v>508</v>
      </c>
      <c r="C25" s="442"/>
      <c r="D25" s="472"/>
      <c r="E25" s="568"/>
      <c r="F25" s="568"/>
      <c r="G25" s="374"/>
      <c r="H25" s="375"/>
      <c r="I25" s="375"/>
      <c r="J25" s="375"/>
      <c r="K25" s="375"/>
      <c r="L25" s="375"/>
    </row>
    <row r="26" spans="1:12">
      <c r="A26" s="415" t="s">
        <v>510</v>
      </c>
      <c r="B26" s="401" t="s">
        <v>511</v>
      </c>
      <c r="C26" s="403" t="s">
        <v>326</v>
      </c>
      <c r="D26" s="467">
        <v>12</v>
      </c>
      <c r="E26" s="569"/>
      <c r="F26" s="569">
        <f t="shared" si="0"/>
        <v>0</v>
      </c>
      <c r="G26" s="374"/>
      <c r="H26" s="375"/>
      <c r="I26" s="375"/>
      <c r="J26" s="375"/>
      <c r="K26" s="375"/>
      <c r="L26" s="375"/>
    </row>
    <row r="27" spans="1:12">
      <c r="A27" s="442" t="s">
        <v>983</v>
      </c>
      <c r="B27" s="443" t="s">
        <v>536</v>
      </c>
      <c r="C27" s="442"/>
      <c r="D27" s="472"/>
      <c r="E27" s="568"/>
      <c r="F27" s="568">
        <f t="shared" si="0"/>
        <v>0</v>
      </c>
      <c r="G27" s="374"/>
      <c r="H27" s="375"/>
      <c r="I27" s="375"/>
      <c r="J27" s="375"/>
      <c r="K27" s="375"/>
      <c r="L27" s="375"/>
    </row>
    <row r="28" spans="1:12">
      <c r="A28" s="415" t="s">
        <v>537</v>
      </c>
      <c r="B28" s="401" t="s">
        <v>538</v>
      </c>
      <c r="C28" s="403" t="s">
        <v>326</v>
      </c>
      <c r="D28" s="467">
        <v>2</v>
      </c>
      <c r="E28" s="569"/>
      <c r="F28" s="569">
        <f t="shared" si="0"/>
        <v>0</v>
      </c>
      <c r="G28" s="374"/>
      <c r="H28" s="375"/>
      <c r="I28" s="375"/>
      <c r="J28" s="375"/>
      <c r="K28" s="375"/>
      <c r="L28" s="375"/>
    </row>
    <row r="29" spans="1:12">
      <c r="A29" s="442" t="s">
        <v>1037</v>
      </c>
      <c r="B29" s="443" t="s">
        <v>1130</v>
      </c>
      <c r="C29" s="442"/>
      <c r="D29" s="472"/>
      <c r="E29" s="568"/>
      <c r="F29" s="568"/>
      <c r="G29" s="374"/>
      <c r="H29" s="375"/>
      <c r="I29" s="375"/>
      <c r="J29" s="375"/>
      <c r="K29" s="375"/>
      <c r="L29" s="375"/>
    </row>
    <row r="30" spans="1:12">
      <c r="A30" s="415" t="s">
        <v>1048</v>
      </c>
      <c r="B30" s="401" t="s">
        <v>503</v>
      </c>
      <c r="C30" s="403" t="s">
        <v>326</v>
      </c>
      <c r="D30" s="467">
        <v>2</v>
      </c>
      <c r="E30" s="569"/>
      <c r="F30" s="569">
        <f t="shared" si="0"/>
        <v>0</v>
      </c>
      <c r="G30" s="374"/>
      <c r="H30" s="375"/>
      <c r="I30" s="375"/>
      <c r="J30" s="375"/>
      <c r="K30" s="375"/>
      <c r="L30" s="375"/>
    </row>
    <row r="31" spans="1:12">
      <c r="A31" s="442" t="s">
        <v>1140</v>
      </c>
      <c r="B31" s="443" t="s">
        <v>560</v>
      </c>
      <c r="C31" s="442"/>
      <c r="D31" s="472"/>
      <c r="E31" s="568"/>
      <c r="F31" s="568"/>
      <c r="G31" s="374"/>
      <c r="H31" s="375"/>
      <c r="I31" s="375"/>
      <c r="J31" s="375"/>
      <c r="K31" s="375"/>
      <c r="L31" s="375"/>
    </row>
    <row r="32" spans="1:12">
      <c r="A32" s="415" t="s">
        <v>984</v>
      </c>
      <c r="B32" s="401" t="s">
        <v>563</v>
      </c>
      <c r="C32" s="403" t="s">
        <v>326</v>
      </c>
      <c r="D32" s="467">
        <v>4</v>
      </c>
      <c r="E32" s="569"/>
      <c r="F32" s="569">
        <f t="shared" si="0"/>
        <v>0</v>
      </c>
      <c r="G32" s="374"/>
      <c r="H32" s="375"/>
      <c r="I32" s="375"/>
      <c r="J32" s="375"/>
      <c r="K32" s="375"/>
      <c r="L32" s="375"/>
    </row>
    <row r="33" spans="1:12">
      <c r="A33" s="442" t="s">
        <v>985</v>
      </c>
      <c r="B33" s="443" t="s">
        <v>521</v>
      </c>
      <c r="C33" s="442" t="s">
        <v>28</v>
      </c>
      <c r="D33" s="472"/>
      <c r="E33" s="568"/>
      <c r="F33" s="568"/>
      <c r="G33" s="374"/>
      <c r="H33" s="375"/>
      <c r="I33" s="375"/>
      <c r="J33" s="375"/>
      <c r="K33" s="375"/>
      <c r="L33" s="375"/>
    </row>
    <row r="34" spans="1:12">
      <c r="A34" s="415" t="s">
        <v>986</v>
      </c>
      <c r="B34" s="401" t="s">
        <v>523</v>
      </c>
      <c r="C34" s="403" t="s">
        <v>326</v>
      </c>
      <c r="D34" s="467">
        <v>4</v>
      </c>
      <c r="E34" s="569"/>
      <c r="F34" s="569">
        <f t="shared" si="0"/>
        <v>0</v>
      </c>
      <c r="G34" s="374"/>
      <c r="H34" s="375"/>
      <c r="I34" s="375"/>
      <c r="J34" s="375"/>
      <c r="K34" s="375"/>
      <c r="L34" s="375"/>
    </row>
    <row r="35" spans="1:12">
      <c r="A35" s="442" t="s">
        <v>987</v>
      </c>
      <c r="B35" s="443" t="s">
        <v>565</v>
      </c>
      <c r="C35" s="442"/>
      <c r="D35" s="472"/>
      <c r="E35" s="568"/>
      <c r="F35" s="568"/>
      <c r="G35" s="374"/>
      <c r="H35" s="375"/>
      <c r="I35" s="375"/>
      <c r="J35" s="375"/>
      <c r="K35" s="375"/>
      <c r="L35" s="375"/>
    </row>
    <row r="36" spans="1:12">
      <c r="A36" s="415" t="s">
        <v>567</v>
      </c>
      <c r="B36" s="401" t="s">
        <v>568</v>
      </c>
      <c r="C36" s="403" t="s">
        <v>326</v>
      </c>
      <c r="D36" s="467">
        <v>2</v>
      </c>
      <c r="E36" s="569"/>
      <c r="F36" s="569">
        <f t="shared" si="0"/>
        <v>0</v>
      </c>
      <c r="G36" s="374"/>
      <c r="H36" s="375"/>
      <c r="I36" s="375"/>
      <c r="J36" s="375"/>
      <c r="K36" s="375"/>
      <c r="L36" s="375"/>
    </row>
    <row r="37" spans="1:12">
      <c r="A37" s="442" t="s">
        <v>988</v>
      </c>
      <c r="B37" s="443" t="s">
        <v>549</v>
      </c>
      <c r="C37" s="442"/>
      <c r="D37" s="472"/>
      <c r="E37" s="568"/>
      <c r="F37" s="568"/>
      <c r="G37" s="374"/>
      <c r="H37" s="375"/>
      <c r="I37" s="375"/>
      <c r="J37" s="375"/>
      <c r="K37" s="375"/>
      <c r="L37" s="375"/>
    </row>
    <row r="38" spans="1:12">
      <c r="A38" s="415" t="s">
        <v>989</v>
      </c>
      <c r="B38" s="401" t="s">
        <v>556</v>
      </c>
      <c r="C38" s="403" t="s">
        <v>326</v>
      </c>
      <c r="D38" s="467">
        <v>1</v>
      </c>
      <c r="E38" s="569"/>
      <c r="F38" s="569">
        <f t="shared" si="0"/>
        <v>0</v>
      </c>
      <c r="G38" s="374"/>
      <c r="H38" s="375"/>
      <c r="I38" s="375"/>
      <c r="J38" s="375"/>
      <c r="K38" s="375"/>
      <c r="L38" s="375"/>
    </row>
    <row r="39" spans="1:12">
      <c r="A39" s="442" t="s">
        <v>1141</v>
      </c>
      <c r="B39" s="443" t="s">
        <v>543</v>
      </c>
      <c r="C39" s="442"/>
      <c r="D39" s="472"/>
      <c r="E39" s="568"/>
      <c r="F39" s="568"/>
      <c r="G39" s="374"/>
      <c r="H39" s="375"/>
      <c r="I39" s="375"/>
      <c r="J39" s="375"/>
      <c r="K39" s="375"/>
      <c r="L39" s="375"/>
    </row>
    <row r="40" spans="1:12">
      <c r="A40" s="415" t="s">
        <v>1142</v>
      </c>
      <c r="B40" s="401" t="s">
        <v>546</v>
      </c>
      <c r="C40" s="403" t="s">
        <v>326</v>
      </c>
      <c r="D40" s="467">
        <v>1</v>
      </c>
      <c r="E40" s="569"/>
      <c r="F40" s="569">
        <f t="shared" si="0"/>
        <v>0</v>
      </c>
      <c r="G40" s="374"/>
      <c r="H40" s="375"/>
      <c r="I40" s="375"/>
      <c r="J40" s="375"/>
      <c r="K40" s="375"/>
      <c r="L40" s="375"/>
    </row>
    <row r="41" spans="1:12">
      <c r="A41" s="442" t="s">
        <v>993</v>
      </c>
      <c r="B41" s="443" t="s">
        <v>513</v>
      </c>
      <c r="C41" s="442"/>
      <c r="D41" s="472"/>
      <c r="E41" s="568"/>
      <c r="F41" s="568"/>
      <c r="G41" s="374"/>
      <c r="H41" s="375"/>
      <c r="I41" s="375"/>
      <c r="J41" s="375"/>
      <c r="K41" s="375"/>
      <c r="L41" s="375"/>
    </row>
    <row r="42" spans="1:12">
      <c r="A42" s="535" t="s">
        <v>994</v>
      </c>
      <c r="B42" s="401" t="s">
        <v>516</v>
      </c>
      <c r="C42" s="403" t="s">
        <v>326</v>
      </c>
      <c r="D42" s="467">
        <v>1</v>
      </c>
      <c r="E42" s="569"/>
      <c r="F42" s="569">
        <f t="shared" si="0"/>
        <v>0</v>
      </c>
      <c r="G42" s="374"/>
      <c r="H42" s="375"/>
      <c r="I42" s="375"/>
      <c r="J42" s="375"/>
      <c r="K42" s="375"/>
      <c r="L42" s="375"/>
    </row>
    <row r="43" spans="1:12">
      <c r="A43" s="442" t="s">
        <v>995</v>
      </c>
      <c r="B43" s="443" t="s">
        <v>531</v>
      </c>
      <c r="C43" s="442"/>
      <c r="D43" s="472"/>
      <c r="E43" s="568"/>
      <c r="F43" s="568"/>
      <c r="G43" s="374"/>
      <c r="H43" s="375"/>
      <c r="I43" s="375"/>
      <c r="J43" s="375"/>
      <c r="K43" s="375"/>
      <c r="L43" s="375"/>
    </row>
    <row r="44" spans="1:12">
      <c r="A44" s="415" t="s">
        <v>533</v>
      </c>
      <c r="B44" s="401" t="s">
        <v>1184</v>
      </c>
      <c r="C44" s="403" t="s">
        <v>326</v>
      </c>
      <c r="D44" s="467">
        <v>5</v>
      </c>
      <c r="E44" s="569"/>
      <c r="F44" s="569">
        <f t="shared" si="0"/>
        <v>0</v>
      </c>
      <c r="G44" s="374"/>
      <c r="H44" s="375"/>
      <c r="I44" s="375"/>
      <c r="J44" s="375"/>
      <c r="K44" s="375"/>
      <c r="L44" s="375"/>
    </row>
    <row r="45" spans="1:12">
      <c r="A45" s="558"/>
      <c r="B45" s="512" t="s">
        <v>1143</v>
      </c>
      <c r="C45" s="513"/>
      <c r="D45" s="514"/>
      <c r="E45" s="570"/>
      <c r="F45" s="571">
        <f>SUM(F8:F44)</f>
        <v>0</v>
      </c>
      <c r="G45" s="374"/>
      <c r="H45" s="375"/>
      <c r="I45" s="375"/>
      <c r="J45" s="375"/>
      <c r="K45" s="375"/>
      <c r="L45" s="375"/>
    </row>
    <row r="46" spans="1:12">
      <c r="A46" s="504"/>
      <c r="B46" s="419"/>
      <c r="C46" s="541"/>
      <c r="D46" s="548"/>
      <c r="E46" s="420"/>
      <c r="G46" s="374"/>
      <c r="H46" s="375"/>
      <c r="I46" s="375"/>
      <c r="J46" s="375"/>
      <c r="K46" s="375"/>
      <c r="L46" s="375"/>
    </row>
    <row r="47" spans="1:12">
      <c r="A47" s="498" t="s">
        <v>1238</v>
      </c>
      <c r="B47" s="498"/>
      <c r="C47" s="499"/>
      <c r="D47" s="500"/>
      <c r="E47" s="566"/>
      <c r="F47" s="566"/>
      <c r="G47" s="374"/>
      <c r="H47" s="375"/>
      <c r="I47" s="375"/>
      <c r="J47" s="375"/>
      <c r="K47" s="375"/>
      <c r="L47" s="375"/>
    </row>
    <row r="48" spans="1:12">
      <c r="A48" s="390"/>
      <c r="B48" s="420"/>
      <c r="C48" s="421"/>
      <c r="E48" s="420"/>
      <c r="G48" s="374"/>
      <c r="H48" s="375"/>
      <c r="I48" s="375"/>
      <c r="J48" s="375"/>
      <c r="K48" s="375"/>
      <c r="L48" s="375"/>
    </row>
    <row r="49" spans="1:12">
      <c r="A49" s="438" t="s">
        <v>0</v>
      </c>
      <c r="B49" s="439" t="s">
        <v>967</v>
      </c>
      <c r="C49" s="438" t="s">
        <v>3</v>
      </c>
      <c r="D49" s="441" t="s">
        <v>4</v>
      </c>
      <c r="E49" s="567" t="s">
        <v>1097</v>
      </c>
      <c r="F49" s="567" t="s">
        <v>1098</v>
      </c>
      <c r="G49" s="374"/>
      <c r="H49" s="375"/>
      <c r="I49" s="375"/>
      <c r="J49" s="375"/>
      <c r="K49" s="375"/>
      <c r="L49" s="375"/>
    </row>
    <row r="50" spans="1:12" ht="31.9" customHeight="1">
      <c r="A50" s="442" t="s">
        <v>692</v>
      </c>
      <c r="B50" s="443" t="s">
        <v>697</v>
      </c>
      <c r="C50" s="442"/>
      <c r="D50" s="472"/>
      <c r="E50" s="568"/>
      <c r="F50" s="568"/>
      <c r="G50" s="374"/>
      <c r="H50" s="375"/>
      <c r="I50" s="375"/>
      <c r="J50" s="375"/>
      <c r="K50" s="375"/>
      <c r="L50" s="375"/>
    </row>
    <row r="51" spans="1:12">
      <c r="A51" s="403" t="s">
        <v>998</v>
      </c>
      <c r="B51" s="401" t="s">
        <v>999</v>
      </c>
      <c r="C51" s="403" t="s">
        <v>67</v>
      </c>
      <c r="D51" s="467">
        <v>50</v>
      </c>
      <c r="E51" s="569"/>
      <c r="F51" s="569">
        <f>+E51*D51</f>
        <v>0</v>
      </c>
      <c r="G51" s="374"/>
      <c r="H51" s="375"/>
      <c r="I51" s="375"/>
      <c r="J51" s="375"/>
      <c r="K51" s="375"/>
      <c r="L51" s="375"/>
    </row>
    <row r="52" spans="1:12">
      <c r="A52" s="442" t="s">
        <v>1000</v>
      </c>
      <c r="B52" s="443" t="s">
        <v>463</v>
      </c>
      <c r="C52" s="442"/>
      <c r="D52" s="472"/>
      <c r="E52" s="568"/>
      <c r="F52" s="568"/>
      <c r="G52" s="374"/>
      <c r="H52" s="375"/>
      <c r="I52" s="375"/>
      <c r="J52" s="375"/>
      <c r="K52" s="375"/>
      <c r="L52" s="375"/>
    </row>
    <row r="53" spans="1:12">
      <c r="A53" s="442" t="s">
        <v>1001</v>
      </c>
      <c r="B53" s="443" t="s">
        <v>1002</v>
      </c>
      <c r="C53" s="442"/>
      <c r="D53" s="472"/>
      <c r="E53" s="568"/>
      <c r="F53" s="568"/>
      <c r="G53" s="374"/>
      <c r="H53" s="375"/>
      <c r="I53" s="375"/>
      <c r="J53" s="375"/>
      <c r="K53" s="375"/>
      <c r="L53" s="375"/>
    </row>
    <row r="54" spans="1:12">
      <c r="A54" s="527" t="s">
        <v>1005</v>
      </c>
      <c r="B54" s="401" t="s">
        <v>477</v>
      </c>
      <c r="C54" s="403" t="s">
        <v>67</v>
      </c>
      <c r="D54" s="544">
        <v>35</v>
      </c>
      <c r="E54" s="569"/>
      <c r="F54" s="569">
        <f t="shared" ref="F54:F69" si="1">+E54*D54</f>
        <v>0</v>
      </c>
      <c r="G54" s="374"/>
      <c r="H54" s="375"/>
      <c r="I54" s="375"/>
      <c r="J54" s="375"/>
      <c r="K54" s="375"/>
      <c r="L54" s="375"/>
    </row>
    <row r="55" spans="1:12">
      <c r="A55" s="442" t="s">
        <v>482</v>
      </c>
      <c r="B55" s="443" t="s">
        <v>456</v>
      </c>
      <c r="C55" s="442"/>
      <c r="D55" s="472"/>
      <c r="E55" s="568"/>
      <c r="F55" s="568"/>
      <c r="G55" s="374"/>
      <c r="H55" s="375"/>
      <c r="I55" s="375"/>
      <c r="J55" s="375"/>
      <c r="K55" s="375"/>
      <c r="L55" s="375"/>
    </row>
    <row r="56" spans="1:12">
      <c r="A56" s="403" t="s">
        <v>1008</v>
      </c>
      <c r="B56" s="401" t="s">
        <v>458</v>
      </c>
      <c r="C56" s="403" t="s">
        <v>67</v>
      </c>
      <c r="D56" s="467">
        <v>30</v>
      </c>
      <c r="E56" s="569"/>
      <c r="F56" s="569">
        <f t="shared" si="1"/>
        <v>0</v>
      </c>
      <c r="G56" s="374"/>
      <c r="H56" s="375"/>
      <c r="I56" s="375"/>
      <c r="J56" s="375"/>
      <c r="K56" s="375"/>
      <c r="L56" s="375"/>
    </row>
    <row r="57" spans="1:12">
      <c r="A57" s="403" t="s">
        <v>1009</v>
      </c>
      <c r="B57" s="401" t="s">
        <v>460</v>
      </c>
      <c r="C57" s="403" t="s">
        <v>67</v>
      </c>
      <c r="D57" s="467">
        <v>24</v>
      </c>
      <c r="E57" s="569"/>
      <c r="F57" s="569">
        <f t="shared" si="1"/>
        <v>0</v>
      </c>
      <c r="G57" s="374"/>
      <c r="H57" s="375"/>
      <c r="I57" s="375"/>
      <c r="J57" s="375"/>
      <c r="K57" s="375"/>
      <c r="L57" s="375"/>
    </row>
    <row r="58" spans="1:12">
      <c r="A58" s="442" t="s">
        <v>482</v>
      </c>
      <c r="B58" s="443" t="s">
        <v>483</v>
      </c>
      <c r="C58" s="442"/>
      <c r="D58" s="472"/>
      <c r="E58" s="568"/>
      <c r="F58" s="568"/>
      <c r="G58" s="374"/>
      <c r="H58" s="375"/>
      <c r="I58" s="375"/>
      <c r="J58" s="375"/>
      <c r="K58" s="375"/>
      <c r="L58" s="375"/>
    </row>
    <row r="59" spans="1:12">
      <c r="A59" s="403" t="s">
        <v>484</v>
      </c>
      <c r="B59" s="401" t="s">
        <v>488</v>
      </c>
      <c r="C59" s="403" t="s">
        <v>3</v>
      </c>
      <c r="D59" s="467">
        <v>1</v>
      </c>
      <c r="E59" s="569"/>
      <c r="F59" s="569">
        <f t="shared" si="1"/>
        <v>0</v>
      </c>
      <c r="G59" s="374"/>
      <c r="H59" s="375"/>
      <c r="I59" s="375"/>
      <c r="J59" s="375"/>
      <c r="K59" s="375"/>
      <c r="L59" s="375"/>
    </row>
    <row r="60" spans="1:12">
      <c r="A60" s="403" t="s">
        <v>487</v>
      </c>
      <c r="B60" s="401" t="s">
        <v>485</v>
      </c>
      <c r="C60" s="403" t="s">
        <v>3</v>
      </c>
      <c r="D60" s="467">
        <v>1</v>
      </c>
      <c r="E60" s="569"/>
      <c r="F60" s="569">
        <f t="shared" si="1"/>
        <v>0</v>
      </c>
      <c r="G60" s="374"/>
      <c r="H60" s="375"/>
      <c r="I60" s="375"/>
      <c r="J60" s="375"/>
      <c r="K60" s="375"/>
      <c r="L60" s="375"/>
    </row>
    <row r="61" spans="1:12">
      <c r="A61" s="403" t="s">
        <v>490</v>
      </c>
      <c r="B61" s="401" t="s">
        <v>491</v>
      </c>
      <c r="C61" s="403" t="s">
        <v>3</v>
      </c>
      <c r="D61" s="467">
        <v>2</v>
      </c>
      <c r="E61" s="569"/>
      <c r="F61" s="569">
        <f t="shared" si="1"/>
        <v>0</v>
      </c>
      <c r="G61" s="374"/>
      <c r="H61" s="375"/>
      <c r="I61" s="375"/>
      <c r="J61" s="375"/>
      <c r="K61" s="375"/>
      <c r="L61" s="375"/>
    </row>
    <row r="62" spans="1:12">
      <c r="A62" s="403" t="s">
        <v>493</v>
      </c>
      <c r="B62" s="401" t="s">
        <v>494</v>
      </c>
      <c r="C62" s="403" t="s">
        <v>3</v>
      </c>
      <c r="D62" s="467">
        <v>1</v>
      </c>
      <c r="E62" s="569"/>
      <c r="F62" s="569">
        <f t="shared" si="1"/>
        <v>0</v>
      </c>
      <c r="G62" s="374"/>
      <c r="H62" s="375"/>
      <c r="I62" s="375"/>
      <c r="J62" s="375"/>
      <c r="K62" s="375"/>
      <c r="L62" s="375"/>
    </row>
    <row r="63" spans="1:12">
      <c r="A63" s="442" t="s">
        <v>1010</v>
      </c>
      <c r="B63" s="443" t="s">
        <v>72</v>
      </c>
      <c r="C63" s="442"/>
      <c r="D63" s="472"/>
      <c r="E63" s="568"/>
      <c r="F63" s="568"/>
      <c r="G63" s="374"/>
      <c r="H63" s="375"/>
      <c r="I63" s="375"/>
      <c r="J63" s="375"/>
      <c r="K63" s="375"/>
      <c r="L63" s="375"/>
    </row>
    <row r="64" spans="1:12">
      <c r="A64" s="442" t="s">
        <v>1011</v>
      </c>
      <c r="B64" s="443" t="s">
        <v>101</v>
      </c>
      <c r="C64" s="442"/>
      <c r="D64" s="472"/>
      <c r="E64" s="568"/>
      <c r="F64" s="568"/>
      <c r="G64" s="374"/>
      <c r="H64" s="375"/>
      <c r="I64" s="375"/>
      <c r="J64" s="375"/>
      <c r="K64" s="375"/>
      <c r="L64" s="375"/>
    </row>
    <row r="65" spans="1:12">
      <c r="A65" s="528" t="s">
        <v>1014</v>
      </c>
      <c r="B65" s="401" t="s">
        <v>105</v>
      </c>
      <c r="C65" s="403" t="s">
        <v>3</v>
      </c>
      <c r="D65" s="467">
        <v>1</v>
      </c>
      <c r="E65" s="569"/>
      <c r="F65" s="569">
        <f t="shared" si="1"/>
        <v>0</v>
      </c>
      <c r="G65" s="374"/>
      <c r="H65" s="375"/>
      <c r="I65" s="375"/>
      <c r="J65" s="375"/>
      <c r="K65" s="375"/>
      <c r="L65" s="375"/>
    </row>
    <row r="66" spans="1:12">
      <c r="A66" s="442" t="s">
        <v>1016</v>
      </c>
      <c r="B66" s="443" t="s">
        <v>75</v>
      </c>
      <c r="C66" s="442"/>
      <c r="D66" s="472"/>
      <c r="E66" s="568"/>
      <c r="F66" s="568"/>
      <c r="G66" s="374"/>
      <c r="H66" s="375"/>
      <c r="I66" s="375"/>
      <c r="J66" s="375"/>
      <c r="K66" s="375"/>
      <c r="L66" s="375"/>
    </row>
    <row r="67" spans="1:12" ht="27.6">
      <c r="A67" s="404" t="s">
        <v>1018</v>
      </c>
      <c r="B67" s="408" t="s">
        <v>92</v>
      </c>
      <c r="C67" s="403" t="s">
        <v>3</v>
      </c>
      <c r="D67" s="467">
        <v>1</v>
      </c>
      <c r="E67" s="569"/>
      <c r="F67" s="569">
        <f t="shared" si="1"/>
        <v>0</v>
      </c>
      <c r="G67" s="374"/>
      <c r="H67" s="375"/>
      <c r="I67" s="375"/>
      <c r="J67" s="375"/>
      <c r="K67" s="375"/>
      <c r="L67" s="375"/>
    </row>
    <row r="68" spans="1:12">
      <c r="A68" s="442" t="s">
        <v>929</v>
      </c>
      <c r="B68" s="443" t="s">
        <v>756</v>
      </c>
      <c r="C68" s="442"/>
      <c r="D68" s="472"/>
      <c r="E68" s="568"/>
      <c r="F68" s="568"/>
      <c r="G68" s="374"/>
      <c r="H68" s="375"/>
      <c r="I68" s="375"/>
      <c r="J68" s="375"/>
      <c r="K68" s="375"/>
      <c r="L68" s="375"/>
    </row>
    <row r="69" spans="1:12">
      <c r="A69" s="403" t="s">
        <v>930</v>
      </c>
      <c r="B69" s="401" t="s">
        <v>758</v>
      </c>
      <c r="C69" s="403" t="s">
        <v>759</v>
      </c>
      <c r="D69" s="467">
        <v>0.9</v>
      </c>
      <c r="E69" s="569"/>
      <c r="F69" s="569">
        <f t="shared" si="1"/>
        <v>0</v>
      </c>
      <c r="G69" s="374"/>
      <c r="H69" s="375"/>
      <c r="I69" s="375"/>
      <c r="J69" s="375"/>
      <c r="K69" s="375"/>
      <c r="L69" s="375"/>
    </row>
    <row r="70" spans="1:12">
      <c r="A70" s="558"/>
      <c r="B70" s="512" t="s">
        <v>1187</v>
      </c>
      <c r="C70" s="513"/>
      <c r="D70" s="514"/>
      <c r="E70" s="570"/>
      <c r="F70" s="571">
        <f>SUM(F51:F69)</f>
        <v>0</v>
      </c>
      <c r="G70" s="374"/>
      <c r="H70" s="375"/>
      <c r="I70" s="375"/>
      <c r="J70" s="375"/>
      <c r="K70" s="375"/>
      <c r="L70" s="375"/>
    </row>
    <row r="71" spans="1:12">
      <c r="A71" s="558"/>
      <c r="B71" s="512" t="s">
        <v>1150</v>
      </c>
      <c r="C71" s="513"/>
      <c r="D71" s="514"/>
      <c r="E71" s="570"/>
      <c r="F71" s="571">
        <f>+F70+F45</f>
        <v>0</v>
      </c>
      <c r="G71" s="374"/>
      <c r="H71" s="375"/>
      <c r="I71" s="375"/>
      <c r="J71" s="375"/>
      <c r="K71" s="375"/>
      <c r="L71" s="375"/>
    </row>
    <row r="72" spans="1:12">
      <c r="A72" s="390"/>
      <c r="B72" s="420"/>
      <c r="C72" s="421"/>
      <c r="E72" s="420"/>
      <c r="G72" s="374"/>
      <c r="H72" s="375"/>
      <c r="I72" s="375"/>
      <c r="J72" s="375"/>
      <c r="K72" s="375"/>
      <c r="L72" s="375"/>
    </row>
    <row r="73" spans="1:12">
      <c r="A73" s="498" t="s">
        <v>1239</v>
      </c>
      <c r="B73" s="498"/>
      <c r="C73" s="499"/>
      <c r="D73" s="500"/>
      <c r="E73" s="566"/>
      <c r="F73" s="566"/>
      <c r="G73" s="374"/>
      <c r="H73" s="375"/>
      <c r="I73" s="375"/>
      <c r="J73" s="375"/>
      <c r="K73" s="375"/>
      <c r="L73" s="375"/>
    </row>
    <row r="74" spans="1:12">
      <c r="A74" s="390"/>
      <c r="B74" s="420"/>
      <c r="C74" s="421"/>
      <c r="E74" s="420"/>
      <c r="G74" s="374"/>
      <c r="H74" s="375"/>
      <c r="I74" s="375"/>
      <c r="J74" s="375"/>
      <c r="K74" s="375"/>
      <c r="L74" s="375"/>
    </row>
    <row r="75" spans="1:12">
      <c r="A75" s="438" t="s">
        <v>0</v>
      </c>
      <c r="B75" s="439" t="s">
        <v>967</v>
      </c>
      <c r="C75" s="438" t="s">
        <v>3</v>
      </c>
      <c r="D75" s="441" t="s">
        <v>839</v>
      </c>
      <c r="E75" s="567" t="s">
        <v>1097</v>
      </c>
      <c r="F75" s="567" t="s">
        <v>1098</v>
      </c>
      <c r="G75" s="374"/>
      <c r="H75" s="375"/>
      <c r="I75" s="375"/>
      <c r="J75" s="375"/>
      <c r="K75" s="375"/>
      <c r="L75" s="375"/>
    </row>
    <row r="76" spans="1:12">
      <c r="A76" s="442" t="s">
        <v>1034</v>
      </c>
      <c r="B76" s="443" t="s">
        <v>827</v>
      </c>
      <c r="C76" s="442"/>
      <c r="D76" s="472"/>
      <c r="E76" s="568"/>
      <c r="F76" s="568"/>
      <c r="G76" s="374"/>
      <c r="H76" s="375"/>
      <c r="I76" s="375"/>
      <c r="J76" s="375"/>
      <c r="K76" s="375"/>
      <c r="L76" s="375"/>
    </row>
    <row r="77" spans="1:12">
      <c r="A77" s="415" t="s">
        <v>1035</v>
      </c>
      <c r="B77" s="401" t="s">
        <v>831</v>
      </c>
      <c r="C77" s="403" t="s">
        <v>67</v>
      </c>
      <c r="D77" s="544">
        <v>12</v>
      </c>
      <c r="E77" s="569"/>
      <c r="F77" s="569">
        <f>+E77*D77</f>
        <v>0</v>
      </c>
      <c r="G77" s="374"/>
      <c r="H77" s="375"/>
      <c r="I77" s="375"/>
      <c r="J77" s="375"/>
      <c r="K77" s="375"/>
      <c r="L77" s="375"/>
    </row>
    <row r="78" spans="1:12">
      <c r="A78" s="415" t="s">
        <v>1036</v>
      </c>
      <c r="B78" s="401" t="s">
        <v>834</v>
      </c>
      <c r="C78" s="403" t="s">
        <v>67</v>
      </c>
      <c r="D78" s="544">
        <v>3</v>
      </c>
      <c r="E78" s="569"/>
      <c r="F78" s="569">
        <f t="shared" ref="F78:F95" si="2">+E78*D78</f>
        <v>0</v>
      </c>
      <c r="G78" s="374"/>
      <c r="H78" s="375"/>
      <c r="I78" s="375"/>
      <c r="J78" s="375"/>
      <c r="K78" s="375"/>
      <c r="L78" s="375"/>
    </row>
    <row r="79" spans="1:12">
      <c r="A79" s="415" t="s">
        <v>837</v>
      </c>
      <c r="B79" s="401" t="s">
        <v>836</v>
      </c>
      <c r="C79" s="403" t="s">
        <v>67</v>
      </c>
      <c r="D79" s="544">
        <v>12</v>
      </c>
      <c r="E79" s="569"/>
      <c r="F79" s="569">
        <f t="shared" si="2"/>
        <v>0</v>
      </c>
      <c r="G79" s="374"/>
      <c r="H79" s="375"/>
      <c r="I79" s="375"/>
      <c r="J79" s="375"/>
      <c r="K79" s="375"/>
      <c r="L79" s="375"/>
    </row>
    <row r="80" spans="1:12">
      <c r="A80" s="442" t="s">
        <v>899</v>
      </c>
      <c r="B80" s="443" t="s">
        <v>323</v>
      </c>
      <c r="C80" s="442"/>
      <c r="D80" s="472"/>
      <c r="E80" s="568"/>
      <c r="F80" s="568"/>
      <c r="G80" s="374"/>
      <c r="H80" s="375"/>
      <c r="I80" s="375"/>
      <c r="J80" s="375"/>
      <c r="K80" s="375"/>
      <c r="L80" s="375"/>
    </row>
    <row r="81" spans="1:12">
      <c r="A81" s="398" t="s">
        <v>900</v>
      </c>
      <c r="B81" s="401" t="s">
        <v>901</v>
      </c>
      <c r="C81" s="403" t="s">
        <v>326</v>
      </c>
      <c r="D81" s="467">
        <v>3</v>
      </c>
      <c r="E81" s="569"/>
      <c r="F81" s="569">
        <f t="shared" si="2"/>
        <v>0</v>
      </c>
      <c r="G81" s="374"/>
      <c r="H81" s="375"/>
      <c r="I81" s="375"/>
      <c r="J81" s="375"/>
      <c r="K81" s="375"/>
      <c r="L81" s="375"/>
    </row>
    <row r="82" spans="1:12">
      <c r="A82" s="398" t="s">
        <v>902</v>
      </c>
      <c r="B82" s="401" t="s">
        <v>328</v>
      </c>
      <c r="C82" s="403" t="s">
        <v>326</v>
      </c>
      <c r="D82" s="467">
        <v>27</v>
      </c>
      <c r="E82" s="569"/>
      <c r="F82" s="569">
        <f t="shared" si="2"/>
        <v>0</v>
      </c>
      <c r="G82" s="374"/>
      <c r="H82" s="375"/>
      <c r="I82" s="375"/>
      <c r="J82" s="375"/>
      <c r="K82" s="375"/>
      <c r="L82" s="375"/>
    </row>
    <row r="83" spans="1:12">
      <c r="A83" s="442" t="s">
        <v>1037</v>
      </c>
      <c r="B83" s="443" t="s">
        <v>14</v>
      </c>
      <c r="C83" s="442"/>
      <c r="D83" s="472"/>
      <c r="E83" s="568"/>
      <c r="F83" s="568"/>
      <c r="G83" s="374"/>
      <c r="H83" s="375"/>
      <c r="I83" s="375"/>
      <c r="J83" s="375"/>
      <c r="K83" s="375"/>
      <c r="L83" s="375"/>
    </row>
    <row r="84" spans="1:12">
      <c r="A84" s="415" t="s">
        <v>1038</v>
      </c>
      <c r="B84" s="401" t="s">
        <v>1039</v>
      </c>
      <c r="C84" s="403" t="s">
        <v>326</v>
      </c>
      <c r="D84" s="467">
        <v>2</v>
      </c>
      <c r="E84" s="569"/>
      <c r="F84" s="569">
        <f t="shared" si="2"/>
        <v>0</v>
      </c>
      <c r="G84" s="374"/>
      <c r="H84" s="375"/>
      <c r="I84" s="375"/>
      <c r="J84" s="375"/>
      <c r="K84" s="375"/>
      <c r="L84" s="375"/>
    </row>
    <row r="85" spans="1:12">
      <c r="A85" s="415" t="s">
        <v>1040</v>
      </c>
      <c r="B85" s="401" t="s">
        <v>526</v>
      </c>
      <c r="C85" s="403" t="s">
        <v>326</v>
      </c>
      <c r="D85" s="467">
        <v>1</v>
      </c>
      <c r="E85" s="569"/>
      <c r="F85" s="569">
        <f t="shared" si="2"/>
        <v>0</v>
      </c>
      <c r="G85" s="374"/>
      <c r="H85" s="375"/>
      <c r="I85" s="375"/>
      <c r="J85" s="375"/>
      <c r="K85" s="375"/>
      <c r="L85" s="375"/>
    </row>
    <row r="86" spans="1:12">
      <c r="A86" s="415" t="s">
        <v>1041</v>
      </c>
      <c r="B86" s="401" t="s">
        <v>529</v>
      </c>
      <c r="C86" s="403" t="s">
        <v>326</v>
      </c>
      <c r="D86" s="467">
        <v>1</v>
      </c>
      <c r="E86" s="569"/>
      <c r="F86" s="569">
        <f t="shared" si="2"/>
        <v>0</v>
      </c>
      <c r="G86" s="374"/>
      <c r="H86" s="375"/>
      <c r="I86" s="375"/>
      <c r="J86" s="375"/>
      <c r="K86" s="375"/>
      <c r="L86" s="375"/>
    </row>
    <row r="87" spans="1:12">
      <c r="A87" s="415" t="s">
        <v>1042</v>
      </c>
      <c r="B87" s="401" t="s">
        <v>608</v>
      </c>
      <c r="C87" s="403" t="s">
        <v>326</v>
      </c>
      <c r="D87" s="467">
        <v>4</v>
      </c>
      <c r="E87" s="569"/>
      <c r="F87" s="569">
        <f t="shared" si="2"/>
        <v>0</v>
      </c>
      <c r="G87" s="374"/>
      <c r="H87" s="375"/>
      <c r="I87" s="375"/>
      <c r="J87" s="375"/>
      <c r="K87" s="375"/>
      <c r="L87" s="375"/>
    </row>
    <row r="88" spans="1:12">
      <c r="A88" s="415" t="s">
        <v>1043</v>
      </c>
      <c r="B88" s="401" t="s">
        <v>582</v>
      </c>
      <c r="C88" s="403" t="s">
        <v>326</v>
      </c>
      <c r="D88" s="467">
        <v>4</v>
      </c>
      <c r="E88" s="569"/>
      <c r="F88" s="569">
        <f t="shared" si="2"/>
        <v>0</v>
      </c>
      <c r="G88" s="374"/>
      <c r="H88" s="375"/>
      <c r="I88" s="375"/>
      <c r="J88" s="375"/>
      <c r="K88" s="375"/>
      <c r="L88" s="375"/>
    </row>
    <row r="89" spans="1:12">
      <c r="A89" s="415" t="s">
        <v>1044</v>
      </c>
      <c r="B89" s="401" t="s">
        <v>595</v>
      </c>
      <c r="C89" s="403" t="s">
        <v>326</v>
      </c>
      <c r="D89" s="467">
        <v>2</v>
      </c>
      <c r="E89" s="569"/>
      <c r="F89" s="569">
        <f t="shared" si="2"/>
        <v>0</v>
      </c>
      <c r="G89" s="374"/>
      <c r="H89" s="375"/>
      <c r="I89" s="375"/>
      <c r="J89" s="375"/>
      <c r="K89" s="375"/>
      <c r="L89" s="375"/>
    </row>
    <row r="90" spans="1:12">
      <c r="A90" s="415" t="s">
        <v>1045</v>
      </c>
      <c r="B90" s="401" t="s">
        <v>1240</v>
      </c>
      <c r="C90" s="403" t="s">
        <v>326</v>
      </c>
      <c r="D90" s="467">
        <v>4</v>
      </c>
      <c r="E90" s="569"/>
      <c r="F90" s="569">
        <f t="shared" si="2"/>
        <v>0</v>
      </c>
      <c r="G90" s="374"/>
      <c r="H90" s="375"/>
      <c r="I90" s="375"/>
      <c r="J90" s="375"/>
      <c r="K90" s="375"/>
      <c r="L90" s="375"/>
    </row>
    <row r="91" spans="1:12">
      <c r="A91" s="415" t="s">
        <v>1046</v>
      </c>
      <c r="B91" s="401" t="s">
        <v>506</v>
      </c>
      <c r="C91" s="403" t="s">
        <v>326</v>
      </c>
      <c r="D91" s="467">
        <v>1</v>
      </c>
      <c r="E91" s="569"/>
      <c r="F91" s="569">
        <f t="shared" si="2"/>
        <v>0</v>
      </c>
      <c r="G91" s="374"/>
      <c r="H91" s="375"/>
      <c r="I91" s="375"/>
      <c r="J91" s="375"/>
      <c r="K91" s="375"/>
      <c r="L91" s="375"/>
    </row>
    <row r="92" spans="1:12">
      <c r="A92" s="415" t="s">
        <v>570</v>
      </c>
      <c r="B92" s="401" t="s">
        <v>571</v>
      </c>
      <c r="C92" s="403" t="s">
        <v>326</v>
      </c>
      <c r="D92" s="467">
        <v>1</v>
      </c>
      <c r="E92" s="569"/>
      <c r="F92" s="569">
        <f t="shared" si="2"/>
        <v>0</v>
      </c>
      <c r="G92" s="374"/>
      <c r="H92" s="375"/>
      <c r="I92" s="375"/>
      <c r="J92" s="375"/>
      <c r="K92" s="375"/>
      <c r="L92" s="375"/>
    </row>
    <row r="93" spans="1:12">
      <c r="A93" s="415" t="s">
        <v>1047</v>
      </c>
      <c r="B93" s="401" t="s">
        <v>553</v>
      </c>
      <c r="C93" s="403" t="s">
        <v>326</v>
      </c>
      <c r="D93" s="467">
        <v>1</v>
      </c>
      <c r="E93" s="569"/>
      <c r="F93" s="569">
        <f t="shared" si="2"/>
        <v>0</v>
      </c>
      <c r="G93" s="374"/>
      <c r="H93" s="375"/>
      <c r="I93" s="375"/>
      <c r="J93" s="375"/>
      <c r="K93" s="375"/>
      <c r="L93" s="375"/>
    </row>
    <row r="94" spans="1:12">
      <c r="A94" s="442" t="s">
        <v>1049</v>
      </c>
      <c r="B94" s="443" t="s">
        <v>683</v>
      </c>
      <c r="C94" s="442"/>
      <c r="D94" s="472"/>
      <c r="E94" s="568"/>
      <c r="F94" s="568"/>
      <c r="G94" s="374"/>
      <c r="H94" s="375"/>
      <c r="I94" s="375"/>
      <c r="J94" s="375"/>
      <c r="K94" s="375"/>
      <c r="L94" s="375"/>
    </row>
    <row r="95" spans="1:12">
      <c r="A95" s="398" t="s">
        <v>1054</v>
      </c>
      <c r="B95" s="401" t="s">
        <v>685</v>
      </c>
      <c r="C95" s="403" t="s">
        <v>326</v>
      </c>
      <c r="D95" s="467">
        <v>1</v>
      </c>
      <c r="E95" s="569"/>
      <c r="F95" s="569">
        <f t="shared" si="2"/>
        <v>0</v>
      </c>
      <c r="G95" s="374"/>
      <c r="H95" s="375"/>
      <c r="I95" s="375"/>
      <c r="J95" s="375"/>
      <c r="K95" s="375"/>
      <c r="L95" s="375"/>
    </row>
    <row r="96" spans="1:12">
      <c r="A96" s="558"/>
      <c r="B96" s="512" t="s">
        <v>1143</v>
      </c>
      <c r="C96" s="513"/>
      <c r="D96" s="514"/>
      <c r="E96" s="570"/>
      <c r="F96" s="571">
        <f>SUM(F77:F95)</f>
        <v>0</v>
      </c>
      <c r="G96" s="374"/>
      <c r="H96" s="375"/>
      <c r="I96" s="375"/>
      <c r="J96" s="375"/>
      <c r="K96" s="375"/>
      <c r="L96" s="375"/>
    </row>
    <row r="97" spans="1:12">
      <c r="A97" s="504"/>
      <c r="B97" s="419"/>
      <c r="C97" s="541"/>
      <c r="D97" s="548"/>
      <c r="E97" s="420"/>
      <c r="G97" s="374"/>
      <c r="H97" s="375"/>
      <c r="I97" s="375"/>
      <c r="J97" s="375"/>
      <c r="K97" s="375"/>
      <c r="L97" s="375"/>
    </row>
    <row r="98" spans="1:12">
      <c r="A98" s="498" t="s">
        <v>1241</v>
      </c>
      <c r="B98" s="498"/>
      <c r="C98" s="499"/>
      <c r="D98" s="500"/>
      <c r="E98" s="566"/>
      <c r="F98" s="566"/>
      <c r="G98" s="374"/>
      <c r="H98" s="375"/>
      <c r="I98" s="375"/>
      <c r="J98" s="375"/>
      <c r="K98" s="375"/>
      <c r="L98" s="375"/>
    </row>
    <row r="99" spans="1:12">
      <c r="A99" s="390"/>
      <c r="B99" s="420"/>
      <c r="C99" s="421"/>
      <c r="E99" s="420"/>
      <c r="G99" s="374"/>
      <c r="H99" s="375"/>
      <c r="I99" s="375"/>
      <c r="J99" s="375"/>
      <c r="K99" s="375"/>
      <c r="L99" s="375"/>
    </row>
    <row r="100" spans="1:12">
      <c r="A100" s="438" t="s">
        <v>0</v>
      </c>
      <c r="B100" s="439" t="s">
        <v>967</v>
      </c>
      <c r="C100" s="438" t="s">
        <v>1242</v>
      </c>
      <c r="D100" s="441" t="s">
        <v>839</v>
      </c>
      <c r="E100" s="567" t="s">
        <v>1097</v>
      </c>
      <c r="F100" s="567" t="s">
        <v>1098</v>
      </c>
      <c r="G100" s="374"/>
      <c r="H100" s="375"/>
      <c r="I100" s="375"/>
      <c r="J100" s="375"/>
      <c r="K100" s="375"/>
      <c r="L100" s="375"/>
    </row>
    <row r="101" spans="1:12">
      <c r="A101" s="442" t="s">
        <v>773</v>
      </c>
      <c r="B101" s="443" t="s">
        <v>774</v>
      </c>
      <c r="C101" s="442"/>
      <c r="D101" s="472"/>
      <c r="E101" s="568"/>
      <c r="F101" s="568"/>
      <c r="G101" s="374"/>
      <c r="H101" s="375"/>
      <c r="I101" s="375"/>
      <c r="J101" s="375"/>
      <c r="K101" s="375"/>
      <c r="L101" s="375"/>
    </row>
    <row r="102" spans="1:12">
      <c r="A102" s="415" t="s">
        <v>785</v>
      </c>
      <c r="B102" s="401" t="s">
        <v>779</v>
      </c>
      <c r="C102" s="403" t="s">
        <v>123</v>
      </c>
      <c r="D102" s="467">
        <v>1</v>
      </c>
      <c r="E102" s="569"/>
      <c r="F102" s="569">
        <f>+E102*D102</f>
        <v>0</v>
      </c>
      <c r="G102" s="374"/>
      <c r="H102" s="375"/>
      <c r="I102" s="375"/>
      <c r="J102" s="375"/>
      <c r="K102" s="375"/>
      <c r="L102" s="375"/>
    </row>
    <row r="103" spans="1:12">
      <c r="A103" s="415" t="s">
        <v>784</v>
      </c>
      <c r="B103" s="401" t="s">
        <v>782</v>
      </c>
      <c r="C103" s="403" t="s">
        <v>783</v>
      </c>
      <c r="D103" s="467">
        <v>2.5</v>
      </c>
      <c r="E103" s="569"/>
      <c r="F103" s="569">
        <f t="shared" ref="F103:F110" si="3">+E103*D103</f>
        <v>0</v>
      </c>
      <c r="G103" s="374"/>
      <c r="H103" s="375"/>
      <c r="I103" s="375"/>
      <c r="J103" s="375"/>
      <c r="K103" s="375"/>
      <c r="L103" s="375"/>
    </row>
    <row r="104" spans="1:12">
      <c r="A104" s="415" t="s">
        <v>784</v>
      </c>
      <c r="B104" s="401" t="s">
        <v>787</v>
      </c>
      <c r="C104" s="403" t="s">
        <v>783</v>
      </c>
      <c r="D104" s="467">
        <v>4</v>
      </c>
      <c r="E104" s="569"/>
      <c r="F104" s="569">
        <f t="shared" si="3"/>
        <v>0</v>
      </c>
      <c r="G104" s="374"/>
      <c r="H104" s="375"/>
      <c r="I104" s="375"/>
      <c r="J104" s="375"/>
      <c r="K104" s="375"/>
      <c r="L104" s="375"/>
    </row>
    <row r="105" spans="1:12">
      <c r="A105" s="415" t="s">
        <v>788</v>
      </c>
      <c r="B105" s="401" t="s">
        <v>790</v>
      </c>
      <c r="C105" s="403" t="s">
        <v>783</v>
      </c>
      <c r="D105" s="467">
        <v>4</v>
      </c>
      <c r="E105" s="569"/>
      <c r="F105" s="569">
        <f t="shared" si="3"/>
        <v>0</v>
      </c>
      <c r="G105" s="374"/>
      <c r="H105" s="375"/>
      <c r="I105" s="375"/>
      <c r="J105" s="375"/>
      <c r="K105" s="375"/>
      <c r="L105" s="375"/>
    </row>
    <row r="106" spans="1:12">
      <c r="A106" s="415" t="s">
        <v>791</v>
      </c>
      <c r="B106" s="401" t="s">
        <v>795</v>
      </c>
      <c r="C106" s="403" t="s">
        <v>794</v>
      </c>
      <c r="D106" s="467">
        <v>2.5</v>
      </c>
      <c r="E106" s="569"/>
      <c r="F106" s="569">
        <f t="shared" si="3"/>
        <v>0</v>
      </c>
      <c r="G106" s="374"/>
      <c r="H106" s="375"/>
      <c r="I106" s="375"/>
      <c r="J106" s="375"/>
      <c r="K106" s="375"/>
      <c r="L106" s="375"/>
    </row>
    <row r="107" spans="1:12">
      <c r="A107" s="415" t="s">
        <v>796</v>
      </c>
      <c r="B107" s="401" t="s">
        <v>798</v>
      </c>
      <c r="C107" s="403" t="s">
        <v>85</v>
      </c>
      <c r="D107" s="467">
        <v>1</v>
      </c>
      <c r="E107" s="569"/>
      <c r="F107" s="569">
        <f t="shared" si="3"/>
        <v>0</v>
      </c>
      <c r="G107" s="374"/>
      <c r="H107" s="375"/>
      <c r="I107" s="375"/>
      <c r="J107" s="375"/>
      <c r="K107" s="375"/>
      <c r="L107" s="375"/>
    </row>
    <row r="108" spans="1:12">
      <c r="A108" s="415" t="s">
        <v>799</v>
      </c>
      <c r="B108" s="401" t="s">
        <v>800</v>
      </c>
      <c r="C108" s="403" t="s">
        <v>794</v>
      </c>
      <c r="D108" s="467">
        <v>35</v>
      </c>
      <c r="E108" s="569"/>
      <c r="F108" s="569">
        <f t="shared" si="3"/>
        <v>0</v>
      </c>
      <c r="G108" s="374"/>
      <c r="H108" s="375"/>
      <c r="I108" s="375"/>
      <c r="J108" s="375"/>
      <c r="K108" s="375"/>
      <c r="L108" s="375"/>
    </row>
    <row r="109" spans="1:12">
      <c r="A109" s="415" t="s">
        <v>801</v>
      </c>
      <c r="B109" s="401" t="s">
        <v>807</v>
      </c>
      <c r="C109" s="403" t="s">
        <v>67</v>
      </c>
      <c r="D109" s="467">
        <v>5</v>
      </c>
      <c r="E109" s="569"/>
      <c r="F109" s="569">
        <f t="shared" si="3"/>
        <v>0</v>
      </c>
      <c r="G109" s="374"/>
      <c r="H109" s="375"/>
      <c r="I109" s="375"/>
      <c r="J109" s="375"/>
      <c r="K109" s="375"/>
      <c r="L109" s="375"/>
    </row>
    <row r="110" spans="1:12">
      <c r="A110" s="415" t="s">
        <v>808</v>
      </c>
      <c r="B110" s="401" t="s">
        <v>809</v>
      </c>
      <c r="C110" s="403" t="s">
        <v>175</v>
      </c>
      <c r="D110" s="467">
        <v>1</v>
      </c>
      <c r="E110" s="569"/>
      <c r="F110" s="569">
        <f t="shared" si="3"/>
        <v>0</v>
      </c>
      <c r="G110" s="374"/>
      <c r="H110" s="375"/>
      <c r="I110" s="375"/>
      <c r="J110" s="375"/>
      <c r="K110" s="375"/>
      <c r="L110" s="375"/>
    </row>
    <row r="111" spans="1:12">
      <c r="A111" s="558"/>
      <c r="B111" s="512" t="s">
        <v>1187</v>
      </c>
      <c r="C111" s="513"/>
      <c r="D111" s="514"/>
      <c r="E111" s="570"/>
      <c r="F111" s="571">
        <f>SUM(F102:F110)</f>
        <v>0</v>
      </c>
      <c r="G111" s="374"/>
      <c r="H111" s="375"/>
      <c r="I111" s="375"/>
      <c r="J111" s="375"/>
      <c r="K111" s="375"/>
      <c r="L111" s="375"/>
    </row>
    <row r="112" spans="1:12">
      <c r="A112" s="558"/>
      <c r="B112" s="512" t="s">
        <v>1150</v>
      </c>
      <c r="C112" s="513"/>
      <c r="D112" s="514"/>
      <c r="E112" s="570"/>
      <c r="F112" s="571">
        <f>F96+F111</f>
        <v>0</v>
      </c>
      <c r="G112" s="375"/>
      <c r="H112" s="375"/>
      <c r="I112" s="375"/>
      <c r="J112" s="375"/>
      <c r="K112" s="375"/>
      <c r="L112" s="375"/>
    </row>
    <row r="113" spans="1:12">
      <c r="A113" s="390"/>
      <c r="B113" s="420"/>
      <c r="C113" s="421"/>
      <c r="E113" s="420"/>
      <c r="G113" s="375"/>
      <c r="H113" s="375"/>
      <c r="I113" s="375"/>
      <c r="J113" s="375"/>
      <c r="K113" s="375"/>
      <c r="L113" s="375"/>
    </row>
    <row r="114" spans="1:12">
      <c r="A114" s="498" t="s">
        <v>1243</v>
      </c>
      <c r="B114" s="498"/>
      <c r="C114" s="499"/>
      <c r="D114" s="500"/>
      <c r="E114" s="566"/>
      <c r="F114" s="566"/>
      <c r="G114" s="375"/>
      <c r="H114" s="375"/>
      <c r="I114" s="375"/>
      <c r="J114" s="375"/>
      <c r="K114" s="375"/>
      <c r="L114" s="374"/>
    </row>
    <row r="115" spans="1:12">
      <c r="A115" s="390"/>
      <c r="B115" s="420"/>
      <c r="C115" s="421"/>
      <c r="E115" s="420"/>
      <c r="G115" s="375"/>
      <c r="H115" s="375"/>
      <c r="I115" s="375"/>
      <c r="J115" s="375"/>
      <c r="K115" s="375"/>
      <c r="L115" s="375"/>
    </row>
    <row r="116" spans="1:12">
      <c r="A116" s="438" t="s">
        <v>0</v>
      </c>
      <c r="B116" s="439" t="s">
        <v>1155</v>
      </c>
      <c r="C116" s="438" t="s">
        <v>3</v>
      </c>
      <c r="D116" s="441" t="s">
        <v>839</v>
      </c>
      <c r="E116" s="567" t="s">
        <v>1244</v>
      </c>
      <c r="F116" s="567" t="s">
        <v>1231</v>
      </c>
      <c r="G116" s="375"/>
      <c r="H116" s="375"/>
      <c r="I116" s="375"/>
      <c r="J116" s="375"/>
      <c r="K116" s="375"/>
      <c r="L116" s="375"/>
    </row>
    <row r="117" spans="1:12">
      <c r="A117" s="442" t="s">
        <v>715</v>
      </c>
      <c r="B117" s="443" t="s">
        <v>716</v>
      </c>
      <c r="C117" s="442"/>
      <c r="D117" s="472"/>
      <c r="E117" s="568"/>
      <c r="F117" s="568" t="s">
        <v>28</v>
      </c>
      <c r="G117" s="375"/>
      <c r="H117" s="375"/>
      <c r="I117" s="375"/>
      <c r="J117" s="375"/>
      <c r="K117" s="375"/>
      <c r="L117" s="375"/>
    </row>
    <row r="118" spans="1:12">
      <c r="A118" s="398" t="s">
        <v>717</v>
      </c>
      <c r="B118" s="399" t="s">
        <v>720</v>
      </c>
      <c r="C118" s="586" t="s">
        <v>1245</v>
      </c>
      <c r="D118" s="586"/>
      <c r="E118" s="586"/>
      <c r="F118" s="586"/>
      <c r="G118" s="375"/>
      <c r="H118" s="375"/>
      <c r="I118" s="375"/>
      <c r="J118" s="375"/>
      <c r="K118" s="375"/>
      <c r="L118" s="375"/>
    </row>
    <row r="119" spans="1:12">
      <c r="A119" s="442" t="s">
        <v>931</v>
      </c>
      <c r="B119" s="443" t="s">
        <v>206</v>
      </c>
      <c r="C119" s="442"/>
      <c r="D119" s="472"/>
      <c r="E119" s="568"/>
      <c r="F119" s="568"/>
      <c r="G119" s="375"/>
      <c r="H119" s="375"/>
      <c r="I119" s="375"/>
      <c r="J119" s="375"/>
      <c r="K119" s="375"/>
      <c r="L119" s="375"/>
    </row>
    <row r="120" spans="1:12">
      <c r="A120" s="442" t="s">
        <v>932</v>
      </c>
      <c r="B120" s="443" t="s">
        <v>208</v>
      </c>
      <c r="C120" s="442"/>
      <c r="D120" s="472"/>
      <c r="E120" s="568"/>
      <c r="F120" s="568"/>
      <c r="G120" s="375"/>
      <c r="H120" s="375"/>
      <c r="I120" s="375"/>
      <c r="J120" s="375"/>
      <c r="K120" s="375"/>
      <c r="L120" s="375"/>
    </row>
    <row r="121" spans="1:12">
      <c r="A121" s="406" t="s">
        <v>210</v>
      </c>
      <c r="B121" s="401" t="s">
        <v>213</v>
      </c>
      <c r="C121" s="398" t="s">
        <v>175</v>
      </c>
      <c r="D121" s="543">
        <v>4</v>
      </c>
      <c r="E121" s="569"/>
      <c r="F121" s="569">
        <f>+E121*D121</f>
        <v>0</v>
      </c>
      <c r="G121" s="374"/>
      <c r="H121" s="375"/>
      <c r="I121" s="375"/>
      <c r="J121" s="375"/>
      <c r="K121" s="375"/>
      <c r="L121" s="375"/>
    </row>
    <row r="122" spans="1:12">
      <c r="A122" s="442" t="s">
        <v>933</v>
      </c>
      <c r="B122" s="443" t="s">
        <v>220</v>
      </c>
      <c r="C122" s="442"/>
      <c r="D122" s="472"/>
      <c r="E122" s="568"/>
      <c r="F122" s="568"/>
      <c r="G122" s="374"/>
      <c r="H122" s="375"/>
      <c r="I122" s="375"/>
      <c r="J122" s="375"/>
      <c r="K122" s="375"/>
      <c r="L122" s="375"/>
    </row>
    <row r="123" spans="1:12">
      <c r="A123" s="406" t="s">
        <v>934</v>
      </c>
      <c r="B123" s="401" t="s">
        <v>223</v>
      </c>
      <c r="C123" s="398" t="s">
        <v>224</v>
      </c>
      <c r="D123" s="543">
        <v>2</v>
      </c>
      <c r="E123" s="569"/>
      <c r="F123" s="569">
        <f t="shared" ref="F123:F126" si="4">+E123*D123</f>
        <v>0</v>
      </c>
      <c r="G123" s="374"/>
      <c r="H123" s="375"/>
      <c r="I123" s="375"/>
      <c r="J123" s="375"/>
      <c r="K123" s="375"/>
      <c r="L123" s="375"/>
    </row>
    <row r="124" spans="1:12">
      <c r="A124" s="406" t="s">
        <v>937</v>
      </c>
      <c r="B124" s="401" t="s">
        <v>126</v>
      </c>
      <c r="C124" s="398" t="s">
        <v>67</v>
      </c>
      <c r="D124" s="543">
        <v>100</v>
      </c>
      <c r="E124" s="569"/>
      <c r="F124" s="569">
        <f t="shared" si="4"/>
        <v>0</v>
      </c>
      <c r="G124" s="374"/>
      <c r="H124" s="375"/>
      <c r="I124" s="375"/>
      <c r="J124" s="375"/>
      <c r="K124" s="375"/>
      <c r="L124" s="375"/>
    </row>
    <row r="125" spans="1:12">
      <c r="A125" s="442" t="s">
        <v>946</v>
      </c>
      <c r="B125" s="443" t="s">
        <v>204</v>
      </c>
      <c r="C125" s="442"/>
      <c r="D125" s="472"/>
      <c r="E125" s="568"/>
      <c r="F125" s="568"/>
      <c r="G125" s="374"/>
      <c r="H125" s="375"/>
      <c r="I125" s="375"/>
      <c r="J125" s="375"/>
      <c r="K125" s="375"/>
      <c r="L125" s="375"/>
    </row>
    <row r="126" spans="1:12">
      <c r="A126" s="406" t="s">
        <v>955</v>
      </c>
      <c r="B126" s="449" t="s">
        <v>185</v>
      </c>
      <c r="C126" s="398" t="s">
        <v>123</v>
      </c>
      <c r="D126" s="543">
        <v>1</v>
      </c>
      <c r="E126" s="569"/>
      <c r="F126" s="569">
        <f t="shared" si="4"/>
        <v>0</v>
      </c>
      <c r="G126" s="374"/>
      <c r="H126" s="375"/>
      <c r="I126" s="375"/>
      <c r="J126" s="375"/>
      <c r="K126" s="375"/>
      <c r="L126" s="375"/>
    </row>
    <row r="127" spans="1:12">
      <c r="A127" s="558"/>
      <c r="B127" s="512" t="s">
        <v>1219</v>
      </c>
      <c r="C127" s="513"/>
      <c r="D127" s="514"/>
      <c r="E127" s="570"/>
      <c r="F127" s="571">
        <f>SUM(F121:F126)</f>
        <v>0</v>
      </c>
      <c r="G127" s="374"/>
      <c r="H127" s="375"/>
      <c r="I127" s="375"/>
      <c r="J127" s="375"/>
      <c r="K127" s="375"/>
      <c r="L127" s="375"/>
    </row>
    <row r="128" spans="1:12">
      <c r="A128" s="390"/>
      <c r="B128" s="420"/>
      <c r="C128" s="421"/>
      <c r="E128" s="420"/>
      <c r="G128" s="374"/>
      <c r="H128" s="375"/>
      <c r="I128" s="375"/>
      <c r="J128" s="375"/>
      <c r="K128" s="375"/>
      <c r="L128" s="375"/>
    </row>
    <row r="129" spans="1:12">
      <c r="A129" s="498" t="s">
        <v>1246</v>
      </c>
      <c r="B129" s="498"/>
      <c r="C129" s="499"/>
      <c r="D129" s="500"/>
      <c r="E129" s="566"/>
      <c r="F129" s="566"/>
      <c r="G129" s="374"/>
      <c r="H129" s="375"/>
      <c r="I129" s="375"/>
      <c r="J129" s="375"/>
      <c r="K129" s="375"/>
      <c r="L129" s="375"/>
    </row>
    <row r="130" spans="1:12">
      <c r="A130" s="390"/>
      <c r="B130" s="390"/>
      <c r="C130" s="470"/>
      <c r="E130" s="420"/>
      <c r="G130" s="374"/>
      <c r="H130" s="375"/>
      <c r="I130" s="375"/>
      <c r="J130" s="375"/>
      <c r="K130" s="375"/>
      <c r="L130" s="375"/>
    </row>
    <row r="131" spans="1:12" ht="15">
      <c r="A131" s="438" t="s">
        <v>1247</v>
      </c>
      <c r="B131" s="439" t="s">
        <v>1248</v>
      </c>
      <c r="C131" s="438" t="s">
        <v>3</v>
      </c>
      <c r="D131" s="441" t="s">
        <v>839</v>
      </c>
      <c r="E131" s="567" t="s">
        <v>1249</v>
      </c>
      <c r="F131" s="567" t="s">
        <v>1250</v>
      </c>
      <c r="G131" s="374"/>
      <c r="H131" s="375"/>
      <c r="I131" s="375"/>
      <c r="J131" s="375"/>
      <c r="K131" s="375"/>
      <c r="L131" s="375"/>
    </row>
    <row r="132" spans="1:12">
      <c r="A132" s="442" t="s">
        <v>1251</v>
      </c>
      <c r="B132" s="443" t="s">
        <v>1252</v>
      </c>
      <c r="C132" s="442"/>
      <c r="D132" s="472"/>
      <c r="E132" s="568"/>
      <c r="F132" s="568"/>
      <c r="G132" s="374"/>
      <c r="H132" s="375"/>
      <c r="I132" s="375"/>
      <c r="J132" s="375"/>
      <c r="K132" s="375"/>
      <c r="L132" s="375"/>
    </row>
    <row r="133" spans="1:12" ht="15">
      <c r="A133" s="549" t="s">
        <v>267</v>
      </c>
      <c r="B133" s="401" t="s">
        <v>268</v>
      </c>
      <c r="C133" s="403" t="s">
        <v>123</v>
      </c>
      <c r="D133" s="467">
        <v>1</v>
      </c>
      <c r="E133" s="572"/>
      <c r="F133" s="572">
        <f>+E133*D133</f>
        <v>0</v>
      </c>
      <c r="G133" s="374"/>
      <c r="H133" s="375"/>
      <c r="I133" s="375"/>
      <c r="J133" s="375"/>
      <c r="K133" s="375"/>
      <c r="L133" s="375"/>
    </row>
    <row r="134" spans="1:12">
      <c r="A134" s="558"/>
      <c r="B134" s="512" t="s">
        <v>1253</v>
      </c>
      <c r="C134" s="513"/>
      <c r="D134" s="514"/>
      <c r="E134" s="570"/>
      <c r="F134" s="571">
        <f>SUM(F133)</f>
        <v>0</v>
      </c>
      <c r="G134" s="374"/>
      <c r="H134" s="375"/>
      <c r="I134" s="375"/>
      <c r="J134" s="375"/>
      <c r="K134" s="375"/>
      <c r="L134" s="375"/>
    </row>
    <row r="135" spans="1:12">
      <c r="A135" s="442" t="s">
        <v>1064</v>
      </c>
      <c r="B135" s="443" t="s">
        <v>1065</v>
      </c>
      <c r="C135" s="442"/>
      <c r="D135" s="472"/>
      <c r="E135" s="568"/>
      <c r="F135" s="568"/>
      <c r="G135" s="374"/>
      <c r="H135" s="375"/>
      <c r="I135" s="375"/>
      <c r="J135" s="375"/>
      <c r="K135" s="375"/>
      <c r="L135" s="375"/>
    </row>
    <row r="136" spans="1:12">
      <c r="A136" s="398" t="s">
        <v>1066</v>
      </c>
      <c r="B136" s="401" t="s">
        <v>291</v>
      </c>
      <c r="C136" s="403" t="s">
        <v>123</v>
      </c>
      <c r="D136" s="467">
        <v>1</v>
      </c>
      <c r="E136" s="569"/>
      <c r="F136" s="572">
        <f>+E136*D136</f>
        <v>0</v>
      </c>
      <c r="G136" s="374"/>
      <c r="H136" s="375"/>
      <c r="I136" s="375"/>
      <c r="J136" s="375"/>
      <c r="K136" s="375"/>
      <c r="L136" s="375"/>
    </row>
    <row r="137" spans="1:12">
      <c r="A137" s="398" t="s">
        <v>1067</v>
      </c>
      <c r="B137" s="401" t="s">
        <v>309</v>
      </c>
      <c r="C137" s="403" t="s">
        <v>123</v>
      </c>
      <c r="D137" s="467">
        <v>1</v>
      </c>
      <c r="E137" s="569"/>
      <c r="F137" s="572">
        <f t="shared" ref="F137:F141" si="5">+E137*D137</f>
        <v>0</v>
      </c>
      <c r="G137" s="374"/>
      <c r="H137" s="375"/>
      <c r="I137" s="375"/>
      <c r="J137" s="375"/>
      <c r="K137" s="375"/>
      <c r="L137" s="375"/>
    </row>
    <row r="138" spans="1:12">
      <c r="A138" s="398" t="s">
        <v>1068</v>
      </c>
      <c r="B138" s="401" t="s">
        <v>311</v>
      </c>
      <c r="C138" s="403" t="s">
        <v>123</v>
      </c>
      <c r="D138" s="467">
        <v>1</v>
      </c>
      <c r="E138" s="569"/>
      <c r="F138" s="572">
        <f t="shared" si="5"/>
        <v>0</v>
      </c>
      <c r="G138" s="374"/>
      <c r="H138" s="375"/>
      <c r="I138" s="375"/>
      <c r="J138" s="375"/>
      <c r="K138" s="375"/>
      <c r="L138" s="375"/>
    </row>
    <row r="139" spans="1:12">
      <c r="A139" s="398" t="s">
        <v>1069</v>
      </c>
      <c r="B139" s="401" t="s">
        <v>313</v>
      </c>
      <c r="C139" s="403" t="s">
        <v>123</v>
      </c>
      <c r="D139" s="467">
        <v>1</v>
      </c>
      <c r="E139" s="569"/>
      <c r="F139" s="572">
        <f t="shared" si="5"/>
        <v>0</v>
      </c>
      <c r="G139" s="374"/>
      <c r="H139" s="375"/>
      <c r="I139" s="375"/>
      <c r="J139" s="375"/>
      <c r="K139" s="375"/>
      <c r="L139" s="375"/>
    </row>
    <row r="140" spans="1:12">
      <c r="A140" s="398" t="s">
        <v>1070</v>
      </c>
      <c r="B140" s="401" t="s">
        <v>315</v>
      </c>
      <c r="C140" s="403" t="s">
        <v>123</v>
      </c>
      <c r="D140" s="467">
        <v>1</v>
      </c>
      <c r="E140" s="569"/>
      <c r="F140" s="572">
        <f t="shared" si="5"/>
        <v>0</v>
      </c>
      <c r="G140" s="374"/>
      <c r="H140" s="375"/>
      <c r="I140" s="375"/>
      <c r="J140" s="375"/>
      <c r="K140" s="375"/>
      <c r="L140" s="375"/>
    </row>
    <row r="141" spans="1:12">
      <c r="A141" s="398" t="s">
        <v>1071</v>
      </c>
      <c r="B141" s="401" t="s">
        <v>317</v>
      </c>
      <c r="C141" s="403" t="s">
        <v>123</v>
      </c>
      <c r="D141" s="467">
        <v>1</v>
      </c>
      <c r="E141" s="569"/>
      <c r="F141" s="572">
        <f t="shared" si="5"/>
        <v>0</v>
      </c>
      <c r="G141" s="374"/>
      <c r="H141" s="375"/>
      <c r="I141" s="375"/>
      <c r="J141" s="375"/>
      <c r="K141" s="375"/>
      <c r="L141" s="375"/>
    </row>
    <row r="142" spans="1:12">
      <c r="A142" s="558"/>
      <c r="B142" s="512" t="s">
        <v>1254</v>
      </c>
      <c r="C142" s="513"/>
      <c r="D142" s="514"/>
      <c r="E142" s="570"/>
      <c r="F142" s="571">
        <f>SUM(F136:F141)</f>
        <v>0</v>
      </c>
      <c r="G142" s="374"/>
      <c r="H142" s="375"/>
      <c r="I142" s="375"/>
      <c r="J142" s="375"/>
      <c r="K142" s="375"/>
      <c r="L142" s="375"/>
    </row>
    <row r="143" spans="1:12">
      <c r="A143" s="442" t="s">
        <v>1072</v>
      </c>
      <c r="B143" s="443" t="s">
        <v>1073</v>
      </c>
      <c r="C143" s="442"/>
      <c r="D143" s="472"/>
      <c r="E143" s="568"/>
      <c r="F143" s="568"/>
      <c r="G143" s="374"/>
      <c r="H143" s="375"/>
      <c r="I143" s="375"/>
      <c r="J143" s="375"/>
      <c r="K143" s="375"/>
      <c r="L143" s="375"/>
    </row>
    <row r="144" spans="1:12">
      <c r="A144" s="403" t="s">
        <v>1074</v>
      </c>
      <c r="B144" s="401" t="s">
        <v>319</v>
      </c>
      <c r="C144" s="403" t="s">
        <v>175</v>
      </c>
      <c r="D144" s="467">
        <v>1</v>
      </c>
      <c r="E144" s="569"/>
      <c r="F144" s="572">
        <f>+E144*D144</f>
        <v>0</v>
      </c>
      <c r="G144" s="374"/>
      <c r="H144" s="375"/>
      <c r="I144" s="375"/>
      <c r="J144" s="375"/>
      <c r="K144" s="375"/>
      <c r="L144" s="375"/>
    </row>
    <row r="145" spans="1:12">
      <c r="A145" s="403" t="s">
        <v>1075</v>
      </c>
      <c r="B145" s="401" t="s">
        <v>321</v>
      </c>
      <c r="C145" s="403" t="s">
        <v>175</v>
      </c>
      <c r="D145" s="467">
        <v>1</v>
      </c>
      <c r="E145" s="569"/>
      <c r="F145" s="572">
        <f t="shared" ref="F145:F155" si="6">+E145*D145</f>
        <v>0</v>
      </c>
      <c r="G145" s="374"/>
      <c r="H145" s="375"/>
      <c r="I145" s="375"/>
      <c r="J145" s="375"/>
      <c r="K145" s="375"/>
      <c r="L145" s="375"/>
    </row>
    <row r="146" spans="1:12">
      <c r="A146" s="403" t="s">
        <v>1076</v>
      </c>
      <c r="B146" s="401" t="s">
        <v>270</v>
      </c>
      <c r="C146" s="403" t="s">
        <v>175</v>
      </c>
      <c r="D146" s="467">
        <v>1</v>
      </c>
      <c r="E146" s="569"/>
      <c r="F146" s="572">
        <f t="shared" si="6"/>
        <v>0</v>
      </c>
      <c r="G146" s="374"/>
      <c r="H146" s="375"/>
      <c r="I146" s="375"/>
      <c r="J146" s="375"/>
      <c r="K146" s="375"/>
      <c r="L146" s="375"/>
    </row>
    <row r="147" spans="1:12">
      <c r="A147" s="403" t="s">
        <v>1077</v>
      </c>
      <c r="B147" s="401" t="s">
        <v>272</v>
      </c>
      <c r="C147" s="403" t="s">
        <v>175</v>
      </c>
      <c r="D147" s="467">
        <v>1</v>
      </c>
      <c r="E147" s="569"/>
      <c r="F147" s="572">
        <f t="shared" si="6"/>
        <v>0</v>
      </c>
      <c r="G147" s="374"/>
      <c r="H147" s="375"/>
      <c r="I147" s="375"/>
      <c r="J147" s="375"/>
      <c r="K147" s="375"/>
      <c r="L147" s="375"/>
    </row>
    <row r="148" spans="1:12">
      <c r="A148" s="403" t="s">
        <v>1078</v>
      </c>
      <c r="B148" s="401" t="s">
        <v>274</v>
      </c>
      <c r="C148" s="403" t="s">
        <v>175</v>
      </c>
      <c r="D148" s="467">
        <v>1</v>
      </c>
      <c r="E148" s="569"/>
      <c r="F148" s="572">
        <f t="shared" si="6"/>
        <v>0</v>
      </c>
      <c r="G148" s="374"/>
      <c r="H148" s="375"/>
      <c r="I148" s="375"/>
      <c r="J148" s="375"/>
      <c r="K148" s="375"/>
      <c r="L148" s="375"/>
    </row>
    <row r="149" spans="1:12">
      <c r="A149" s="403" t="s">
        <v>1079</v>
      </c>
      <c r="B149" s="401" t="s">
        <v>276</v>
      </c>
      <c r="C149" s="403" t="s">
        <v>175</v>
      </c>
      <c r="D149" s="467">
        <v>8</v>
      </c>
      <c r="E149" s="569"/>
      <c r="F149" s="572">
        <f t="shared" si="6"/>
        <v>0</v>
      </c>
      <c r="G149" s="374"/>
      <c r="H149" s="375"/>
      <c r="I149" s="375"/>
      <c r="J149" s="375"/>
      <c r="K149" s="375"/>
      <c r="L149" s="375"/>
    </row>
    <row r="150" spans="1:12">
      <c r="A150" s="403" t="s">
        <v>1080</v>
      </c>
      <c r="B150" s="401" t="s">
        <v>278</v>
      </c>
      <c r="C150" s="403" t="s">
        <v>123</v>
      </c>
      <c r="D150" s="467">
        <v>1</v>
      </c>
      <c r="E150" s="569"/>
      <c r="F150" s="572">
        <f t="shared" si="6"/>
        <v>0</v>
      </c>
      <c r="G150" s="374"/>
      <c r="H150" s="375"/>
      <c r="I150" s="375"/>
      <c r="J150" s="375"/>
      <c r="K150" s="375"/>
      <c r="L150" s="375"/>
    </row>
    <row r="151" spans="1:12">
      <c r="A151" s="403" t="s">
        <v>1081</v>
      </c>
      <c r="B151" s="401" t="s">
        <v>280</v>
      </c>
      <c r="C151" s="403" t="s">
        <v>281</v>
      </c>
      <c r="D151" s="467">
        <v>1</v>
      </c>
      <c r="E151" s="569"/>
      <c r="F151" s="572">
        <f t="shared" si="6"/>
        <v>0</v>
      </c>
      <c r="G151" s="374"/>
      <c r="H151" s="375"/>
      <c r="I151" s="375"/>
      <c r="J151" s="375"/>
      <c r="K151" s="375"/>
      <c r="L151" s="375"/>
    </row>
    <row r="152" spans="1:12">
      <c r="A152" s="403" t="s">
        <v>1082</v>
      </c>
      <c r="B152" s="401" t="s">
        <v>283</v>
      </c>
      <c r="C152" s="403" t="s">
        <v>281</v>
      </c>
      <c r="D152" s="467">
        <v>1</v>
      </c>
      <c r="E152" s="569"/>
      <c r="F152" s="572">
        <f t="shared" si="6"/>
        <v>0</v>
      </c>
      <c r="G152" s="374"/>
      <c r="H152" s="375"/>
      <c r="I152" s="375"/>
      <c r="J152" s="375"/>
      <c r="K152" s="375"/>
      <c r="L152" s="375"/>
    </row>
    <row r="153" spans="1:12">
      <c r="A153" s="403" t="s">
        <v>1083</v>
      </c>
      <c r="B153" s="401" t="s">
        <v>285</v>
      </c>
      <c r="C153" s="403" t="s">
        <v>123</v>
      </c>
      <c r="D153" s="467">
        <v>1</v>
      </c>
      <c r="E153" s="569"/>
      <c r="F153" s="572">
        <f t="shared" si="6"/>
        <v>0</v>
      </c>
      <c r="G153" s="374"/>
      <c r="H153" s="375"/>
      <c r="I153" s="375"/>
      <c r="J153" s="375"/>
      <c r="K153" s="375"/>
      <c r="L153" s="375"/>
    </row>
    <row r="154" spans="1:12">
      <c r="A154" s="403" t="s">
        <v>1084</v>
      </c>
      <c r="B154" s="401" t="s">
        <v>287</v>
      </c>
      <c r="C154" s="403" t="s">
        <v>123</v>
      </c>
      <c r="D154" s="467">
        <v>1</v>
      </c>
      <c r="E154" s="569"/>
      <c r="F154" s="572">
        <f t="shared" si="6"/>
        <v>0</v>
      </c>
      <c r="G154" s="374"/>
      <c r="H154" s="375"/>
      <c r="I154" s="375"/>
      <c r="J154" s="375"/>
      <c r="K154" s="375"/>
      <c r="L154" s="375"/>
    </row>
    <row r="155" spans="1:12">
      <c r="A155" s="403" t="s">
        <v>1085</v>
      </c>
      <c r="B155" s="401" t="s">
        <v>289</v>
      </c>
      <c r="C155" s="403" t="s">
        <v>123</v>
      </c>
      <c r="D155" s="467">
        <v>1</v>
      </c>
      <c r="E155" s="569"/>
      <c r="F155" s="572">
        <f t="shared" si="6"/>
        <v>0</v>
      </c>
      <c r="G155" s="374"/>
      <c r="H155" s="375"/>
      <c r="I155" s="375"/>
      <c r="J155" s="375"/>
      <c r="K155" s="375"/>
      <c r="L155" s="375"/>
    </row>
    <row r="156" spans="1:12">
      <c r="A156" s="558"/>
      <c r="B156" s="512" t="s">
        <v>1255</v>
      </c>
      <c r="C156" s="513"/>
      <c r="D156" s="514"/>
      <c r="E156" s="570"/>
      <c r="F156" s="571">
        <f>SUM(F144:F155)</f>
        <v>0</v>
      </c>
      <c r="G156" s="374"/>
      <c r="H156" s="375"/>
      <c r="I156" s="375"/>
      <c r="J156" s="375"/>
      <c r="K156" s="375"/>
      <c r="L156" s="375"/>
    </row>
    <row r="157" spans="1:12">
      <c r="A157" s="442" t="s">
        <v>1086</v>
      </c>
      <c r="B157" s="443" t="s">
        <v>1087</v>
      </c>
      <c r="C157" s="442"/>
      <c r="D157" s="472"/>
      <c r="E157" s="568"/>
      <c r="F157" s="568"/>
      <c r="G157" s="374"/>
      <c r="H157" s="375"/>
      <c r="I157" s="375"/>
      <c r="J157" s="375"/>
      <c r="K157" s="375"/>
      <c r="L157" s="375"/>
    </row>
    <row r="158" spans="1:12">
      <c r="A158" s="403" t="s">
        <v>1088</v>
      </c>
      <c r="B158" s="401" t="s">
        <v>280</v>
      </c>
      <c r="C158" s="403" t="s">
        <v>281</v>
      </c>
      <c r="D158" s="467">
        <v>4</v>
      </c>
      <c r="E158" s="569"/>
      <c r="F158" s="572">
        <f>+E158*D158</f>
        <v>0</v>
      </c>
      <c r="G158" s="374"/>
      <c r="H158" s="375"/>
      <c r="I158" s="375"/>
      <c r="J158" s="375"/>
      <c r="K158" s="375"/>
      <c r="L158" s="375"/>
    </row>
    <row r="159" spans="1:12">
      <c r="A159" s="403" t="s">
        <v>1089</v>
      </c>
      <c r="B159" s="401" t="s">
        <v>294</v>
      </c>
      <c r="C159" s="403" t="s">
        <v>123</v>
      </c>
      <c r="D159" s="467">
        <v>4</v>
      </c>
      <c r="E159" s="569"/>
      <c r="F159" s="572">
        <f t="shared" ref="F159:F165" si="7">+E159*D159</f>
        <v>0</v>
      </c>
      <c r="G159" s="374"/>
      <c r="H159" s="375"/>
      <c r="I159" s="375"/>
      <c r="J159" s="375"/>
      <c r="K159" s="375"/>
      <c r="L159" s="375"/>
    </row>
    <row r="160" spans="1:12">
      <c r="A160" s="403" t="s">
        <v>1090</v>
      </c>
      <c r="B160" s="401" t="s">
        <v>296</v>
      </c>
      <c r="C160" s="403" t="s">
        <v>175</v>
      </c>
      <c r="D160" s="467">
        <v>1</v>
      </c>
      <c r="E160" s="569"/>
      <c r="F160" s="572">
        <f t="shared" si="7"/>
        <v>0</v>
      </c>
      <c r="G160" s="374"/>
      <c r="H160" s="375"/>
      <c r="I160" s="375"/>
      <c r="J160" s="375"/>
      <c r="K160" s="375"/>
      <c r="L160" s="375"/>
    </row>
    <row r="161" spans="1:12">
      <c r="A161" s="403" t="s">
        <v>1091</v>
      </c>
      <c r="B161" s="401" t="s">
        <v>298</v>
      </c>
      <c r="C161" s="403" t="s">
        <v>175</v>
      </c>
      <c r="D161" s="467">
        <v>2</v>
      </c>
      <c r="E161" s="569"/>
      <c r="F161" s="572">
        <f t="shared" si="7"/>
        <v>0</v>
      </c>
      <c r="G161" s="374"/>
      <c r="H161" s="375"/>
      <c r="I161" s="375"/>
      <c r="J161" s="375"/>
      <c r="K161" s="375"/>
      <c r="L161" s="375"/>
    </row>
    <row r="162" spans="1:12">
      <c r="A162" s="403" t="s">
        <v>1092</v>
      </c>
      <c r="B162" s="401" t="s">
        <v>300</v>
      </c>
      <c r="C162" s="403" t="s">
        <v>301</v>
      </c>
      <c r="D162" s="467">
        <v>350</v>
      </c>
      <c r="E162" s="569"/>
      <c r="F162" s="572">
        <f t="shared" si="7"/>
        <v>0</v>
      </c>
      <c r="G162" s="374"/>
      <c r="H162" s="375"/>
      <c r="I162" s="375"/>
      <c r="J162" s="375"/>
      <c r="K162" s="375"/>
      <c r="L162" s="375"/>
    </row>
    <row r="163" spans="1:12">
      <c r="A163" s="403" t="s">
        <v>1093</v>
      </c>
      <c r="B163" s="401" t="s">
        <v>303</v>
      </c>
      <c r="C163" s="403" t="s">
        <v>123</v>
      </c>
      <c r="D163" s="467">
        <v>1</v>
      </c>
      <c r="E163" s="569"/>
      <c r="F163" s="572">
        <f t="shared" si="7"/>
        <v>0</v>
      </c>
      <c r="G163" s="374"/>
      <c r="H163" s="375"/>
      <c r="I163" s="375"/>
      <c r="J163" s="375"/>
      <c r="K163" s="375"/>
      <c r="L163" s="375"/>
    </row>
    <row r="164" spans="1:12">
      <c r="A164" s="403" t="s">
        <v>1094</v>
      </c>
      <c r="B164" s="401" t="s">
        <v>305</v>
      </c>
      <c r="C164" s="403" t="s">
        <v>123</v>
      </c>
      <c r="D164" s="467">
        <v>1</v>
      </c>
      <c r="E164" s="569"/>
      <c r="F164" s="572">
        <f t="shared" si="7"/>
        <v>0</v>
      </c>
      <c r="G164" s="374"/>
      <c r="H164" s="375"/>
      <c r="I164" s="375"/>
      <c r="J164" s="375"/>
      <c r="K164" s="375"/>
      <c r="L164" s="375"/>
    </row>
    <row r="165" spans="1:12">
      <c r="A165" s="403" t="s">
        <v>1095</v>
      </c>
      <c r="B165" s="401" t="s">
        <v>287</v>
      </c>
      <c r="C165" s="403" t="s">
        <v>123</v>
      </c>
      <c r="D165" s="467">
        <v>1</v>
      </c>
      <c r="E165" s="569"/>
      <c r="F165" s="572">
        <f t="shared" si="7"/>
        <v>0</v>
      </c>
      <c r="G165" s="374"/>
      <c r="H165" s="375"/>
      <c r="I165" s="375"/>
      <c r="J165" s="375"/>
      <c r="K165" s="375"/>
      <c r="L165" s="375"/>
    </row>
    <row r="166" spans="1:12">
      <c r="A166" s="558"/>
      <c r="B166" s="512" t="s">
        <v>1256</v>
      </c>
      <c r="C166" s="513"/>
      <c r="D166" s="514"/>
      <c r="E166" s="570"/>
      <c r="F166" s="571">
        <f>SUM(F158:F165)</f>
        <v>0</v>
      </c>
      <c r="G166" s="374"/>
      <c r="H166" s="375"/>
      <c r="I166" s="375"/>
      <c r="J166" s="375"/>
      <c r="K166" s="375"/>
      <c r="L166" s="375"/>
    </row>
    <row r="167" spans="1:12">
      <c r="A167" s="558"/>
      <c r="B167" s="512" t="s">
        <v>1257</v>
      </c>
      <c r="C167" s="513"/>
      <c r="D167" s="514"/>
      <c r="E167" s="570"/>
      <c r="F167" s="571">
        <f>+F166+F156+F142+F134</f>
        <v>0</v>
      </c>
      <c r="G167" s="374"/>
      <c r="H167" s="375"/>
      <c r="I167" s="375"/>
      <c r="J167" s="375"/>
      <c r="K167" s="375"/>
      <c r="L167" s="375"/>
    </row>
    <row r="168" spans="1:12">
      <c r="A168" s="390"/>
      <c r="B168" s="420"/>
      <c r="C168" s="421"/>
      <c r="E168" s="420"/>
      <c r="G168" s="374"/>
      <c r="H168" s="375"/>
      <c r="I168" s="375"/>
      <c r="J168" s="375"/>
      <c r="K168" s="375"/>
      <c r="L168" s="375"/>
    </row>
    <row r="169" spans="1:12">
      <c r="A169" s="394"/>
      <c r="B169" s="559" t="s">
        <v>1258</v>
      </c>
      <c r="C169" s="562"/>
      <c r="D169" s="563"/>
      <c r="E169" s="560"/>
      <c r="F169" s="571">
        <f>+F167+F127+F112+F71</f>
        <v>0</v>
      </c>
      <c r="G169" s="374"/>
      <c r="H169" s="375"/>
      <c r="I169" s="375"/>
      <c r="J169" s="375"/>
      <c r="K169" s="375"/>
      <c r="L169" s="375"/>
    </row>
    <row r="170" spans="1:12">
      <c r="A170" s="394"/>
      <c r="B170" s="559" t="s">
        <v>1195</v>
      </c>
      <c r="C170" s="562"/>
      <c r="D170" s="563"/>
      <c r="E170" s="560"/>
      <c r="F170" s="571">
        <f>+F169*0.18</f>
        <v>0</v>
      </c>
      <c r="G170" s="374"/>
      <c r="H170" s="375"/>
      <c r="I170" s="375"/>
      <c r="J170" s="375"/>
      <c r="K170" s="375"/>
      <c r="L170" s="375"/>
    </row>
    <row r="171" spans="1:12">
      <c r="A171" s="394"/>
      <c r="B171" s="559" t="s">
        <v>1196</v>
      </c>
      <c r="C171" s="562"/>
      <c r="D171" s="563"/>
      <c r="E171" s="560"/>
      <c r="F171" s="571">
        <f>+F169+F170</f>
        <v>0</v>
      </c>
      <c r="G171" s="374"/>
      <c r="H171" s="375"/>
      <c r="I171" s="375"/>
      <c r="J171" s="375"/>
      <c r="K171" s="375"/>
      <c r="L171" s="375"/>
    </row>
    <row r="172" spans="1:12">
      <c r="A172" s="390"/>
      <c r="B172" s="420"/>
      <c r="C172" s="421"/>
      <c r="E172" s="420"/>
      <c r="G172" s="374"/>
      <c r="H172" s="375"/>
      <c r="I172" s="375"/>
      <c r="J172" s="375"/>
      <c r="K172" s="375"/>
      <c r="L172" s="375"/>
    </row>
    <row r="173" spans="1:12">
      <c r="A173" s="390"/>
      <c r="B173" s="420"/>
      <c r="C173" s="421"/>
      <c r="E173" s="420"/>
      <c r="G173" s="374"/>
      <c r="H173" s="375"/>
      <c r="I173" s="375"/>
      <c r="J173" s="375"/>
      <c r="K173" s="375"/>
      <c r="L173" s="375"/>
    </row>
    <row r="174" spans="1:12">
      <c r="A174" s="390"/>
      <c r="B174" s="420"/>
      <c r="C174" s="421"/>
      <c r="E174" s="420"/>
      <c r="G174" s="374"/>
      <c r="H174" s="375"/>
      <c r="I174" s="375"/>
      <c r="J174" s="375"/>
      <c r="K174" s="375"/>
      <c r="L174" s="375"/>
    </row>
    <row r="175" spans="1:12">
      <c r="A175" s="390"/>
      <c r="B175" s="420"/>
      <c r="C175" s="421"/>
      <c r="E175" s="420"/>
      <c r="G175" s="374"/>
      <c r="H175" s="375"/>
      <c r="I175" s="375"/>
      <c r="J175" s="375"/>
      <c r="K175" s="375"/>
      <c r="L175" s="375"/>
    </row>
    <row r="176" spans="1:12">
      <c r="A176" s="390"/>
      <c r="B176" s="420"/>
      <c r="C176" s="421"/>
      <c r="E176" s="420"/>
      <c r="G176" s="374"/>
      <c r="H176" s="375"/>
      <c r="I176" s="375"/>
      <c r="J176" s="375"/>
      <c r="K176" s="375"/>
      <c r="L176" s="375"/>
    </row>
    <row r="177" spans="1:12">
      <c r="A177" s="390"/>
      <c r="B177" s="420"/>
      <c r="C177" s="421"/>
      <c r="E177" s="420"/>
      <c r="G177" s="374"/>
      <c r="H177" s="375"/>
      <c r="I177" s="375"/>
      <c r="J177" s="375"/>
      <c r="K177" s="375"/>
      <c r="L177" s="375"/>
    </row>
    <row r="178" spans="1:12">
      <c r="A178" s="390"/>
      <c r="B178" s="420"/>
      <c r="C178" s="421"/>
      <c r="E178" s="420"/>
      <c r="G178" s="374"/>
      <c r="H178" s="375"/>
      <c r="I178" s="375"/>
      <c r="J178" s="375"/>
      <c r="K178" s="375"/>
      <c r="L178" s="375"/>
    </row>
    <row r="179" spans="1:12">
      <c r="A179" s="390"/>
      <c r="B179" s="420"/>
      <c r="C179" s="421"/>
      <c r="E179" s="420"/>
      <c r="G179" s="374"/>
      <c r="H179" s="375"/>
      <c r="I179" s="375"/>
      <c r="J179" s="375"/>
      <c r="K179" s="375"/>
      <c r="L179" s="375"/>
    </row>
    <row r="180" spans="1:12">
      <c r="A180" s="390"/>
      <c r="B180" s="420"/>
      <c r="C180" s="421"/>
      <c r="E180" s="420"/>
      <c r="G180" s="374"/>
      <c r="H180" s="375"/>
      <c r="I180" s="375"/>
      <c r="J180" s="375"/>
      <c r="K180" s="375"/>
      <c r="L180" s="375"/>
    </row>
    <row r="181" spans="1:12">
      <c r="A181" s="390"/>
      <c r="B181" s="420"/>
      <c r="C181" s="421"/>
      <c r="E181" s="420"/>
      <c r="G181" s="374"/>
      <c r="H181" s="375"/>
      <c r="I181" s="375"/>
      <c r="J181" s="375"/>
      <c r="K181" s="375"/>
      <c r="L181" s="375"/>
    </row>
    <row r="182" spans="1:12">
      <c r="A182" s="390"/>
      <c r="B182" s="420"/>
      <c r="C182" s="421"/>
      <c r="E182" s="420"/>
      <c r="G182" s="374"/>
      <c r="H182" s="375"/>
      <c r="I182" s="375"/>
      <c r="J182" s="375"/>
      <c r="K182" s="375"/>
      <c r="L182" s="375"/>
    </row>
    <row r="183" spans="1:12">
      <c r="A183" s="390"/>
      <c r="B183" s="420"/>
      <c r="C183" s="421"/>
      <c r="E183" s="420"/>
      <c r="G183" s="374"/>
      <c r="H183" s="375"/>
      <c r="I183" s="375"/>
      <c r="J183" s="375"/>
      <c r="K183" s="375"/>
      <c r="L183" s="375"/>
    </row>
    <row r="184" spans="1:12">
      <c r="A184" s="390"/>
      <c r="B184" s="420"/>
      <c r="C184" s="421"/>
      <c r="E184" s="420"/>
      <c r="G184" s="374"/>
      <c r="H184" s="375"/>
      <c r="I184" s="375"/>
      <c r="J184" s="375"/>
      <c r="K184" s="375"/>
      <c r="L184" s="375"/>
    </row>
    <row r="185" spans="1:12">
      <c r="A185" s="390"/>
      <c r="B185" s="420"/>
      <c r="C185" s="421"/>
      <c r="E185" s="420"/>
      <c r="G185" s="374"/>
      <c r="H185" s="375"/>
      <c r="I185" s="375"/>
      <c r="J185" s="375"/>
      <c r="K185" s="375"/>
      <c r="L185" s="375"/>
    </row>
    <row r="186" spans="1:12">
      <c r="A186" s="390"/>
      <c r="B186" s="420"/>
      <c r="C186" s="421"/>
      <c r="E186" s="420"/>
      <c r="G186" s="374"/>
      <c r="H186" s="375"/>
      <c r="I186" s="375"/>
      <c r="J186" s="375"/>
      <c r="K186" s="375"/>
      <c r="L186" s="375"/>
    </row>
  </sheetData>
  <mergeCells count="2">
    <mergeCell ref="C118:F118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4"/>
  <sheetViews>
    <sheetView zoomScale="85" zoomScaleNormal="85" workbookViewId="0">
      <selection activeCell="H144" sqref="H144"/>
    </sheetView>
  </sheetViews>
  <sheetFormatPr defaultColWidth="11.42578125" defaultRowHeight="14.45"/>
  <cols>
    <col min="1" max="1" width="16.5703125" style="435" bestFit="1" customWidth="1"/>
    <col min="2" max="2" width="61" style="435" bestFit="1" customWidth="1"/>
    <col min="3" max="3" width="7.140625" style="435" bestFit="1" customWidth="1"/>
    <col min="4" max="4" width="11.7109375" style="542" bestFit="1" customWidth="1"/>
    <col min="5" max="5" width="14.5703125" style="437" bestFit="1" customWidth="1"/>
    <col min="6" max="6" width="22.42578125" style="506" bestFit="1" customWidth="1"/>
  </cols>
  <sheetData>
    <row r="1" spans="1:10">
      <c r="A1" s="390"/>
      <c r="B1" s="420"/>
      <c r="C1" s="420"/>
      <c r="D1" s="532"/>
      <c r="E1" s="486"/>
    </row>
    <row r="2" spans="1:10" ht="36.75" customHeight="1">
      <c r="A2" s="585" t="s">
        <v>1259</v>
      </c>
      <c r="B2" s="585"/>
      <c r="C2" s="585"/>
      <c r="D2" s="585"/>
      <c r="E2" s="585"/>
      <c r="F2" s="585"/>
      <c r="G2" s="376"/>
      <c r="H2" s="376"/>
      <c r="I2" s="376"/>
      <c r="J2" s="376"/>
    </row>
    <row r="3" spans="1:10">
      <c r="A3" s="390"/>
      <c r="B3" s="420"/>
      <c r="C3" s="420"/>
      <c r="D3" s="532"/>
      <c r="E3" s="486"/>
      <c r="G3" s="375"/>
      <c r="H3" s="375"/>
      <c r="I3" s="375"/>
      <c r="J3" s="375"/>
    </row>
    <row r="4" spans="1:10">
      <c r="A4" s="498" t="s">
        <v>1260</v>
      </c>
      <c r="B4" s="498"/>
      <c r="C4" s="499"/>
      <c r="D4" s="500"/>
      <c r="E4" s="501"/>
      <c r="F4" s="501"/>
      <c r="G4" s="375"/>
      <c r="H4" s="375"/>
      <c r="I4" s="375"/>
      <c r="J4" s="374"/>
    </row>
    <row r="5" spans="1:10">
      <c r="A5" s="390"/>
      <c r="B5" s="420"/>
      <c r="C5" s="420"/>
      <c r="D5" s="532"/>
      <c r="E5" s="486"/>
      <c r="G5" s="375"/>
      <c r="H5" s="375"/>
      <c r="I5" s="375"/>
      <c r="J5" s="375"/>
    </row>
    <row r="6" spans="1:10">
      <c r="A6" s="438" t="s">
        <v>0</v>
      </c>
      <c r="B6" s="439" t="s">
        <v>967</v>
      </c>
      <c r="C6" s="438" t="s">
        <v>3</v>
      </c>
      <c r="D6" s="441" t="s">
        <v>839</v>
      </c>
      <c r="E6" s="441" t="s">
        <v>1097</v>
      </c>
      <c r="F6" s="441" t="s">
        <v>1199</v>
      </c>
      <c r="G6" s="375"/>
      <c r="H6" s="375"/>
      <c r="I6" s="375"/>
      <c r="J6" s="375"/>
    </row>
    <row r="7" spans="1:10">
      <c r="A7" s="442" t="s">
        <v>715</v>
      </c>
      <c r="B7" s="443" t="s">
        <v>716</v>
      </c>
      <c r="C7" s="442"/>
      <c r="D7" s="472"/>
      <c r="E7" s="445"/>
      <c r="F7" s="445"/>
      <c r="G7" s="375"/>
      <c r="H7" s="375"/>
      <c r="I7" s="375"/>
      <c r="J7" s="375"/>
    </row>
    <row r="8" spans="1:10">
      <c r="A8" s="398" t="s">
        <v>717</v>
      </c>
      <c r="B8" s="399" t="s">
        <v>720</v>
      </c>
      <c r="C8" s="398" t="s">
        <v>123</v>
      </c>
      <c r="D8" s="543">
        <v>1</v>
      </c>
      <c r="E8" s="446"/>
      <c r="F8" s="446">
        <f>+E8*D8</f>
        <v>0</v>
      </c>
      <c r="G8" s="375"/>
      <c r="H8" s="375"/>
      <c r="I8" s="375"/>
      <c r="J8" s="375"/>
    </row>
    <row r="9" spans="1:10">
      <c r="A9" s="442" t="s">
        <v>968</v>
      </c>
      <c r="B9" s="443" t="s">
        <v>817</v>
      </c>
      <c r="C9" s="442"/>
      <c r="D9" s="472"/>
      <c r="E9" s="445"/>
      <c r="F9" s="445"/>
      <c r="G9" s="375"/>
      <c r="H9" s="375"/>
      <c r="I9" s="375"/>
      <c r="J9" s="375"/>
    </row>
    <row r="10" spans="1:10">
      <c r="A10" s="415" t="s">
        <v>971</v>
      </c>
      <c r="B10" s="401" t="s">
        <v>468</v>
      </c>
      <c r="C10" s="401" t="s">
        <v>67</v>
      </c>
      <c r="D10" s="544">
        <v>112</v>
      </c>
      <c r="E10" s="446"/>
      <c r="F10" s="446">
        <f t="shared" ref="F10:F45" si="0">+E10*D10</f>
        <v>0</v>
      </c>
      <c r="G10" s="375"/>
      <c r="H10" s="375"/>
      <c r="I10" s="375"/>
      <c r="J10" s="375"/>
    </row>
    <row r="11" spans="1:10">
      <c r="A11" s="415" t="s">
        <v>972</v>
      </c>
      <c r="B11" s="401" t="s">
        <v>1200</v>
      </c>
      <c r="C11" s="401" t="s">
        <v>67</v>
      </c>
      <c r="D11" s="544">
        <v>11</v>
      </c>
      <c r="E11" s="446"/>
      <c r="F11" s="446">
        <f t="shared" si="0"/>
        <v>0</v>
      </c>
      <c r="G11" s="375"/>
      <c r="H11" s="375"/>
      <c r="I11" s="375"/>
      <c r="J11" s="375"/>
    </row>
    <row r="12" spans="1:10">
      <c r="A12" s="442" t="s">
        <v>974</v>
      </c>
      <c r="B12" s="443" t="s">
        <v>812</v>
      </c>
      <c r="C12" s="442"/>
      <c r="D12" s="472"/>
      <c r="E12" s="445"/>
      <c r="F12" s="445"/>
      <c r="G12" s="375"/>
      <c r="H12" s="375"/>
      <c r="I12" s="375"/>
      <c r="J12" s="375"/>
    </row>
    <row r="13" spans="1:10">
      <c r="A13" s="402" t="s">
        <v>24</v>
      </c>
      <c r="B13" s="407" t="s">
        <v>25</v>
      </c>
      <c r="C13" s="407"/>
      <c r="D13" s="545"/>
      <c r="E13" s="417"/>
      <c r="F13" s="446"/>
      <c r="G13" s="375"/>
      <c r="H13" s="375"/>
      <c r="I13" s="375"/>
      <c r="J13" s="375"/>
    </row>
    <row r="14" spans="1:10">
      <c r="A14" s="403" t="s">
        <v>975</v>
      </c>
      <c r="B14" s="401" t="s">
        <v>458</v>
      </c>
      <c r="C14" s="401" t="s">
        <v>67</v>
      </c>
      <c r="D14" s="467">
        <v>30</v>
      </c>
      <c r="E14" s="446"/>
      <c r="F14" s="446">
        <f t="shared" si="0"/>
        <v>0</v>
      </c>
      <c r="G14" s="375"/>
      <c r="H14" s="375"/>
      <c r="I14" s="375"/>
      <c r="J14" s="375"/>
    </row>
    <row r="15" spans="1:10">
      <c r="A15" s="403" t="s">
        <v>976</v>
      </c>
      <c r="B15" s="401" t="s">
        <v>460</v>
      </c>
      <c r="C15" s="401" t="s">
        <v>67</v>
      </c>
      <c r="D15" s="467">
        <v>24</v>
      </c>
      <c r="E15" s="446"/>
      <c r="F15" s="446">
        <f t="shared" si="0"/>
        <v>0</v>
      </c>
      <c r="G15" s="375"/>
      <c r="H15" s="375"/>
      <c r="I15" s="375"/>
      <c r="J15" s="375"/>
    </row>
    <row r="16" spans="1:10">
      <c r="A16" s="442" t="s">
        <v>977</v>
      </c>
      <c r="B16" s="443" t="s">
        <v>16</v>
      </c>
      <c r="C16" s="442"/>
      <c r="D16" s="472"/>
      <c r="E16" s="445"/>
      <c r="F16" s="445"/>
      <c r="G16" s="375"/>
      <c r="H16" s="375"/>
      <c r="I16" s="375"/>
      <c r="J16" s="375"/>
    </row>
    <row r="17" spans="1:10">
      <c r="A17" s="442" t="s">
        <v>574</v>
      </c>
      <c r="B17" s="443" t="s">
        <v>575</v>
      </c>
      <c r="C17" s="442"/>
      <c r="D17" s="472"/>
      <c r="E17" s="445"/>
      <c r="F17" s="445"/>
      <c r="G17" s="375"/>
      <c r="H17" s="375"/>
      <c r="I17" s="375"/>
      <c r="J17" s="375"/>
    </row>
    <row r="18" spans="1:10">
      <c r="A18" s="415" t="s">
        <v>586</v>
      </c>
      <c r="B18" s="401" t="s">
        <v>584</v>
      </c>
      <c r="C18" s="401" t="s">
        <v>326</v>
      </c>
      <c r="D18" s="467">
        <v>1</v>
      </c>
      <c r="E18" s="446"/>
      <c r="F18" s="446">
        <f t="shared" si="0"/>
        <v>0</v>
      </c>
      <c r="G18" s="375"/>
      <c r="H18" s="375"/>
      <c r="I18" s="375"/>
      <c r="J18" s="375"/>
    </row>
    <row r="19" spans="1:10">
      <c r="A19" s="415" t="s">
        <v>579</v>
      </c>
      <c r="B19" s="401" t="s">
        <v>578</v>
      </c>
      <c r="C19" s="401" t="s">
        <v>326</v>
      </c>
      <c r="D19" s="467">
        <v>4</v>
      </c>
      <c r="E19" s="446"/>
      <c r="F19" s="446">
        <f t="shared" si="0"/>
        <v>0</v>
      </c>
      <c r="G19" s="375"/>
      <c r="H19" s="375"/>
      <c r="I19" s="375"/>
      <c r="J19" s="375"/>
    </row>
    <row r="20" spans="1:10">
      <c r="A20" s="442" t="s">
        <v>1137</v>
      </c>
      <c r="B20" s="443" t="s">
        <v>598</v>
      </c>
      <c r="C20" s="442"/>
      <c r="D20" s="472"/>
      <c r="E20" s="445"/>
      <c r="F20" s="445"/>
      <c r="G20" s="375"/>
      <c r="H20" s="375"/>
      <c r="I20" s="375"/>
      <c r="J20" s="375"/>
    </row>
    <row r="21" spans="1:10">
      <c r="A21" s="415" t="s">
        <v>981</v>
      </c>
      <c r="B21" s="401" t="s">
        <v>605</v>
      </c>
      <c r="C21" s="401" t="s">
        <v>326</v>
      </c>
      <c r="D21" s="467">
        <v>6</v>
      </c>
      <c r="E21" s="446"/>
      <c r="F21" s="446">
        <f t="shared" si="0"/>
        <v>0</v>
      </c>
      <c r="G21" s="375"/>
      <c r="H21" s="375"/>
      <c r="I21" s="375"/>
      <c r="J21" s="375"/>
    </row>
    <row r="22" spans="1:10">
      <c r="A22" s="415" t="s">
        <v>982</v>
      </c>
      <c r="B22" s="401" t="s">
        <v>602</v>
      </c>
      <c r="C22" s="401" t="s">
        <v>326</v>
      </c>
      <c r="D22" s="467">
        <v>12</v>
      </c>
      <c r="E22" s="446"/>
      <c r="F22" s="446">
        <f t="shared" si="0"/>
        <v>0</v>
      </c>
      <c r="G22" s="375"/>
      <c r="H22" s="375"/>
      <c r="I22" s="375"/>
      <c r="J22" s="375"/>
    </row>
    <row r="23" spans="1:10">
      <c r="A23" s="442" t="s">
        <v>1138</v>
      </c>
      <c r="B23" s="443" t="s">
        <v>592</v>
      </c>
      <c r="C23" s="442"/>
      <c r="D23" s="472"/>
      <c r="E23" s="445"/>
      <c r="F23" s="445"/>
      <c r="G23" s="375"/>
      <c r="H23" s="375"/>
      <c r="I23" s="375"/>
      <c r="J23" s="375"/>
    </row>
    <row r="24" spans="1:10">
      <c r="A24" s="415" t="s">
        <v>1139</v>
      </c>
      <c r="B24" s="401" t="s">
        <v>595</v>
      </c>
      <c r="C24" s="401" t="s">
        <v>326</v>
      </c>
      <c r="D24" s="467">
        <v>2</v>
      </c>
      <c r="E24" s="446"/>
      <c r="F24" s="446">
        <f t="shared" si="0"/>
        <v>0</v>
      </c>
      <c r="G24" s="375"/>
      <c r="H24" s="375"/>
      <c r="I24" s="375"/>
      <c r="J24" s="375"/>
    </row>
    <row r="25" spans="1:10">
      <c r="A25" s="442" t="s">
        <v>1140</v>
      </c>
      <c r="B25" s="443" t="s">
        <v>497</v>
      </c>
      <c r="C25" s="442"/>
      <c r="D25" s="472"/>
      <c r="E25" s="445"/>
      <c r="F25" s="445"/>
      <c r="G25" s="375"/>
      <c r="H25" s="375"/>
      <c r="I25" s="375"/>
      <c r="J25" s="375"/>
    </row>
    <row r="26" spans="1:10">
      <c r="A26" s="442" t="s">
        <v>507</v>
      </c>
      <c r="B26" s="443" t="s">
        <v>508</v>
      </c>
      <c r="C26" s="442"/>
      <c r="D26" s="472"/>
      <c r="E26" s="445"/>
      <c r="F26" s="445"/>
      <c r="G26" s="375"/>
      <c r="H26" s="375"/>
      <c r="I26" s="375"/>
      <c r="J26" s="375"/>
    </row>
    <row r="27" spans="1:10">
      <c r="A27" s="415" t="s">
        <v>510</v>
      </c>
      <c r="B27" s="401" t="s">
        <v>511</v>
      </c>
      <c r="C27" s="401" t="s">
        <v>326</v>
      </c>
      <c r="D27" s="467">
        <v>12</v>
      </c>
      <c r="E27" s="446"/>
      <c r="F27" s="446">
        <f t="shared" si="0"/>
        <v>0</v>
      </c>
      <c r="G27" s="375"/>
      <c r="H27" s="375"/>
      <c r="I27" s="375"/>
      <c r="J27" s="375"/>
    </row>
    <row r="28" spans="1:10">
      <c r="A28" s="442" t="s">
        <v>983</v>
      </c>
      <c r="B28" s="443" t="s">
        <v>536</v>
      </c>
      <c r="C28" s="442"/>
      <c r="D28" s="472"/>
      <c r="E28" s="445"/>
      <c r="F28" s="445"/>
      <c r="G28" s="375"/>
      <c r="H28" s="375"/>
      <c r="I28" s="375"/>
      <c r="J28" s="375"/>
    </row>
    <row r="29" spans="1:10">
      <c r="A29" s="415" t="s">
        <v>537</v>
      </c>
      <c r="B29" s="401" t="s">
        <v>538</v>
      </c>
      <c r="C29" s="401" t="s">
        <v>326</v>
      </c>
      <c r="D29" s="467">
        <v>2</v>
      </c>
      <c r="E29" s="446"/>
      <c r="F29" s="446">
        <f t="shared" si="0"/>
        <v>0</v>
      </c>
      <c r="G29" s="375"/>
      <c r="H29" s="375"/>
      <c r="I29" s="375"/>
      <c r="J29" s="375"/>
    </row>
    <row r="30" spans="1:10">
      <c r="A30" s="442" t="s">
        <v>1037</v>
      </c>
      <c r="B30" s="443" t="s">
        <v>1130</v>
      </c>
      <c r="C30" s="442"/>
      <c r="D30" s="472"/>
      <c r="E30" s="445"/>
      <c r="F30" s="445"/>
      <c r="G30" s="375"/>
      <c r="H30" s="375"/>
      <c r="I30" s="375"/>
      <c r="J30" s="375"/>
    </row>
    <row r="31" spans="1:10">
      <c r="A31" s="415" t="s">
        <v>1048</v>
      </c>
      <c r="B31" s="401" t="s">
        <v>503</v>
      </c>
      <c r="C31" s="401" t="s">
        <v>326</v>
      </c>
      <c r="D31" s="467">
        <v>2</v>
      </c>
      <c r="E31" s="446"/>
      <c r="F31" s="446">
        <f t="shared" si="0"/>
        <v>0</v>
      </c>
      <c r="G31" s="375"/>
      <c r="H31" s="375"/>
      <c r="I31" s="375"/>
      <c r="J31" s="375"/>
    </row>
    <row r="32" spans="1:10">
      <c r="A32" s="442" t="s">
        <v>1140</v>
      </c>
      <c r="B32" s="443" t="s">
        <v>560</v>
      </c>
      <c r="C32" s="442"/>
      <c r="D32" s="472"/>
      <c r="E32" s="445"/>
      <c r="F32" s="445"/>
      <c r="G32" s="375"/>
      <c r="H32" s="375"/>
      <c r="I32" s="375"/>
      <c r="J32" s="375"/>
    </row>
    <row r="33" spans="1:10">
      <c r="A33" s="415" t="s">
        <v>984</v>
      </c>
      <c r="B33" s="401" t="s">
        <v>563</v>
      </c>
      <c r="C33" s="401" t="s">
        <v>326</v>
      </c>
      <c r="D33" s="467">
        <v>4</v>
      </c>
      <c r="E33" s="446"/>
      <c r="F33" s="446">
        <f t="shared" si="0"/>
        <v>0</v>
      </c>
      <c r="G33" s="375"/>
      <c r="H33" s="375"/>
      <c r="I33" s="375"/>
      <c r="J33" s="375"/>
    </row>
    <row r="34" spans="1:10">
      <c r="A34" s="442" t="s">
        <v>985</v>
      </c>
      <c r="B34" s="443" t="s">
        <v>521</v>
      </c>
      <c r="C34" s="442" t="s">
        <v>28</v>
      </c>
      <c r="D34" s="472"/>
      <c r="E34" s="445"/>
      <c r="F34" s="445"/>
      <c r="G34" s="375"/>
      <c r="H34" s="375"/>
      <c r="I34" s="375"/>
      <c r="J34" s="375"/>
    </row>
    <row r="35" spans="1:10">
      <c r="A35" s="415" t="s">
        <v>986</v>
      </c>
      <c r="B35" s="401" t="s">
        <v>523</v>
      </c>
      <c r="C35" s="401" t="s">
        <v>326</v>
      </c>
      <c r="D35" s="467">
        <v>4</v>
      </c>
      <c r="E35" s="446"/>
      <c r="F35" s="446">
        <f t="shared" si="0"/>
        <v>0</v>
      </c>
      <c r="G35" s="375"/>
      <c r="H35" s="375"/>
      <c r="I35" s="375"/>
      <c r="J35" s="375"/>
    </row>
    <row r="36" spans="1:10">
      <c r="A36" s="442" t="s">
        <v>987</v>
      </c>
      <c r="B36" s="443" t="s">
        <v>565</v>
      </c>
      <c r="C36" s="442"/>
      <c r="D36" s="472"/>
      <c r="E36" s="445"/>
      <c r="F36" s="445"/>
      <c r="G36" s="375"/>
      <c r="H36" s="375"/>
      <c r="I36" s="375"/>
      <c r="J36" s="375"/>
    </row>
    <row r="37" spans="1:10">
      <c r="A37" s="415" t="s">
        <v>567</v>
      </c>
      <c r="B37" s="401" t="s">
        <v>568</v>
      </c>
      <c r="C37" s="401" t="s">
        <v>326</v>
      </c>
      <c r="D37" s="467">
        <v>2</v>
      </c>
      <c r="E37" s="446"/>
      <c r="F37" s="446">
        <f t="shared" si="0"/>
        <v>0</v>
      </c>
      <c r="G37" s="375"/>
      <c r="H37" s="375"/>
      <c r="I37" s="375"/>
      <c r="J37" s="375"/>
    </row>
    <row r="38" spans="1:10">
      <c r="A38" s="442" t="s">
        <v>988</v>
      </c>
      <c r="B38" s="443" t="s">
        <v>549</v>
      </c>
      <c r="C38" s="442"/>
      <c r="D38" s="472"/>
      <c r="E38" s="445"/>
      <c r="F38" s="445"/>
      <c r="G38" s="375"/>
      <c r="H38" s="375"/>
      <c r="I38" s="375"/>
      <c r="J38" s="375"/>
    </row>
    <row r="39" spans="1:10">
      <c r="A39" s="415" t="s">
        <v>989</v>
      </c>
      <c r="B39" s="401" t="s">
        <v>556</v>
      </c>
      <c r="C39" s="401" t="s">
        <v>326</v>
      </c>
      <c r="D39" s="467">
        <v>1</v>
      </c>
      <c r="E39" s="446"/>
      <c r="F39" s="446">
        <f t="shared" si="0"/>
        <v>0</v>
      </c>
      <c r="G39" s="375"/>
      <c r="H39" s="375"/>
      <c r="I39" s="375"/>
      <c r="J39" s="375"/>
    </row>
    <row r="40" spans="1:10">
      <c r="A40" s="442" t="s">
        <v>1141</v>
      </c>
      <c r="B40" s="443" t="s">
        <v>543</v>
      </c>
      <c r="C40" s="442"/>
      <c r="D40" s="472"/>
      <c r="E40" s="445"/>
      <c r="F40" s="445"/>
      <c r="G40" s="375"/>
      <c r="H40" s="375"/>
      <c r="I40" s="375"/>
      <c r="J40" s="375"/>
    </row>
    <row r="41" spans="1:10">
      <c r="A41" s="415" t="s">
        <v>1142</v>
      </c>
      <c r="B41" s="401" t="s">
        <v>546</v>
      </c>
      <c r="C41" s="401" t="s">
        <v>326</v>
      </c>
      <c r="D41" s="467">
        <v>1</v>
      </c>
      <c r="E41" s="446"/>
      <c r="F41" s="446">
        <f t="shared" si="0"/>
        <v>0</v>
      </c>
      <c r="G41" s="375"/>
      <c r="H41" s="375"/>
      <c r="I41" s="375"/>
      <c r="J41" s="375"/>
    </row>
    <row r="42" spans="1:10">
      <c r="A42" s="442" t="s">
        <v>993</v>
      </c>
      <c r="B42" s="443" t="s">
        <v>513</v>
      </c>
      <c r="C42" s="442"/>
      <c r="D42" s="472"/>
      <c r="E42" s="445"/>
      <c r="F42" s="445"/>
      <c r="G42" s="375"/>
      <c r="H42" s="375"/>
      <c r="I42" s="375"/>
      <c r="J42" s="375"/>
    </row>
    <row r="43" spans="1:10">
      <c r="A43" s="415" t="s">
        <v>994</v>
      </c>
      <c r="B43" s="401" t="s">
        <v>516</v>
      </c>
      <c r="C43" s="401" t="s">
        <v>326</v>
      </c>
      <c r="D43" s="467">
        <v>1</v>
      </c>
      <c r="E43" s="446"/>
      <c r="F43" s="446">
        <f t="shared" si="0"/>
        <v>0</v>
      </c>
      <c r="G43" s="375"/>
      <c r="H43" s="375"/>
      <c r="I43" s="375"/>
      <c r="J43" s="375"/>
    </row>
    <row r="44" spans="1:10">
      <c r="A44" s="442" t="s">
        <v>995</v>
      </c>
      <c r="B44" s="443" t="s">
        <v>531</v>
      </c>
      <c r="C44" s="442"/>
      <c r="D44" s="472"/>
      <c r="E44" s="445"/>
      <c r="F44" s="445"/>
      <c r="G44" s="375"/>
      <c r="H44" s="375"/>
      <c r="I44" s="375"/>
      <c r="J44" s="375"/>
    </row>
    <row r="45" spans="1:10">
      <c r="A45" s="415" t="s">
        <v>533</v>
      </c>
      <c r="B45" s="401" t="s">
        <v>1184</v>
      </c>
      <c r="C45" s="401" t="s">
        <v>326</v>
      </c>
      <c r="D45" s="467">
        <v>5</v>
      </c>
      <c r="E45" s="446"/>
      <c r="F45" s="446">
        <f t="shared" si="0"/>
        <v>0</v>
      </c>
      <c r="G45" s="375"/>
      <c r="H45" s="375"/>
      <c r="I45" s="375"/>
      <c r="J45" s="375"/>
    </row>
    <row r="46" spans="1:10">
      <c r="A46" s="558"/>
      <c r="B46" s="512" t="s">
        <v>1143</v>
      </c>
      <c r="C46" s="513"/>
      <c r="D46" s="514"/>
      <c r="E46" s="515"/>
      <c r="F46" s="516">
        <f>SUM(F8:F45)</f>
        <v>0</v>
      </c>
      <c r="G46" s="375"/>
      <c r="H46" s="375"/>
      <c r="I46" s="375"/>
      <c r="J46" s="375"/>
    </row>
    <row r="47" spans="1:10">
      <c r="A47" s="504"/>
      <c r="B47" s="419"/>
      <c r="C47" s="419"/>
      <c r="D47" s="533"/>
      <c r="E47" s="486"/>
      <c r="G47" s="375"/>
      <c r="H47" s="375"/>
      <c r="I47" s="375"/>
      <c r="J47" s="375"/>
    </row>
    <row r="48" spans="1:10">
      <c r="A48" s="498" t="s">
        <v>1261</v>
      </c>
      <c r="B48" s="498"/>
      <c r="C48" s="499"/>
      <c r="D48" s="500"/>
      <c r="E48" s="501"/>
      <c r="F48" s="501"/>
      <c r="G48" s="375"/>
      <c r="H48" s="375"/>
      <c r="I48" s="375"/>
      <c r="J48" s="375"/>
    </row>
    <row r="49" spans="1:10">
      <c r="A49" s="390"/>
      <c r="B49" s="420"/>
      <c r="C49" s="420"/>
      <c r="D49" s="532"/>
      <c r="E49" s="486"/>
      <c r="G49" s="375"/>
      <c r="H49" s="375"/>
      <c r="I49" s="375"/>
      <c r="J49" s="375"/>
    </row>
    <row r="50" spans="1:10">
      <c r="A50" s="438" t="s">
        <v>0</v>
      </c>
      <c r="B50" s="439" t="s">
        <v>967</v>
      </c>
      <c r="C50" s="438" t="s">
        <v>3</v>
      </c>
      <c r="D50" s="441" t="s">
        <v>4</v>
      </c>
      <c r="E50" s="441" t="s">
        <v>9</v>
      </c>
      <c r="F50" s="441" t="s">
        <v>10</v>
      </c>
      <c r="G50" s="375"/>
      <c r="H50" s="375"/>
      <c r="I50" s="375"/>
      <c r="J50" s="375"/>
    </row>
    <row r="51" spans="1:10">
      <c r="A51" s="442" t="s">
        <v>692</v>
      </c>
      <c r="B51" s="443" t="s">
        <v>697</v>
      </c>
      <c r="C51" s="442"/>
      <c r="D51" s="472"/>
      <c r="E51" s="445"/>
      <c r="F51" s="445"/>
      <c r="G51" s="375"/>
      <c r="H51" s="375"/>
      <c r="I51" s="375"/>
      <c r="J51" s="375"/>
    </row>
    <row r="52" spans="1:10" ht="27.6">
      <c r="A52" s="403" t="s">
        <v>998</v>
      </c>
      <c r="B52" s="401" t="s">
        <v>999</v>
      </c>
      <c r="C52" s="401" t="s">
        <v>67</v>
      </c>
      <c r="D52" s="467">
        <v>123</v>
      </c>
      <c r="E52" s="446"/>
      <c r="F52" s="446">
        <f>+E52*D52</f>
        <v>0</v>
      </c>
      <c r="G52" s="375"/>
      <c r="H52" s="375"/>
      <c r="I52" s="375"/>
      <c r="J52" s="375"/>
    </row>
    <row r="53" spans="1:10">
      <c r="A53" s="442" t="s">
        <v>1000</v>
      </c>
      <c r="B53" s="443" t="s">
        <v>463</v>
      </c>
      <c r="C53" s="442"/>
      <c r="D53" s="472"/>
      <c r="E53" s="445"/>
      <c r="F53" s="445"/>
      <c r="G53" s="375"/>
      <c r="H53" s="375"/>
      <c r="I53" s="375"/>
      <c r="J53" s="375"/>
    </row>
    <row r="54" spans="1:10">
      <c r="A54" s="442" t="s">
        <v>1001</v>
      </c>
      <c r="B54" s="443" t="s">
        <v>1002</v>
      </c>
      <c r="C54" s="442"/>
      <c r="D54" s="472"/>
      <c r="E54" s="445"/>
      <c r="F54" s="445"/>
      <c r="G54" s="375"/>
      <c r="H54" s="375"/>
      <c r="I54" s="375"/>
      <c r="J54" s="375"/>
    </row>
    <row r="55" spans="1:10" ht="15">
      <c r="A55" s="527" t="s">
        <v>1005</v>
      </c>
      <c r="B55" s="401" t="s">
        <v>819</v>
      </c>
      <c r="C55" s="401" t="s">
        <v>67</v>
      </c>
      <c r="D55" s="544">
        <v>112</v>
      </c>
      <c r="E55" s="446"/>
      <c r="F55" s="446">
        <f t="shared" ref="F55:F69" si="1">+E55*D55</f>
        <v>0</v>
      </c>
      <c r="G55" s="375"/>
      <c r="H55" s="375"/>
      <c r="I55" s="375"/>
      <c r="J55" s="375"/>
    </row>
    <row r="56" spans="1:10">
      <c r="A56" s="527" t="s">
        <v>1006</v>
      </c>
      <c r="B56" s="401" t="s">
        <v>973</v>
      </c>
      <c r="C56" s="401" t="s">
        <v>67</v>
      </c>
      <c r="D56" s="544">
        <v>11</v>
      </c>
      <c r="E56" s="446"/>
      <c r="F56" s="446">
        <f t="shared" si="1"/>
        <v>0</v>
      </c>
      <c r="G56" s="375"/>
      <c r="H56" s="375"/>
      <c r="I56" s="375"/>
      <c r="J56" s="375"/>
    </row>
    <row r="57" spans="1:10">
      <c r="A57" s="442" t="s">
        <v>1007</v>
      </c>
      <c r="B57" s="443" t="s">
        <v>456</v>
      </c>
      <c r="C57" s="442"/>
      <c r="D57" s="472"/>
      <c r="E57" s="445"/>
      <c r="F57" s="445"/>
      <c r="G57" s="375"/>
      <c r="H57" s="375"/>
      <c r="I57" s="375"/>
      <c r="J57" s="375"/>
    </row>
    <row r="58" spans="1:10">
      <c r="A58" s="403" t="s">
        <v>1008</v>
      </c>
      <c r="B58" s="401" t="s">
        <v>458</v>
      </c>
      <c r="C58" s="401" t="s">
        <v>67</v>
      </c>
      <c r="D58" s="467">
        <v>30</v>
      </c>
      <c r="E58" s="446"/>
      <c r="F58" s="446">
        <f t="shared" si="1"/>
        <v>0</v>
      </c>
      <c r="G58" s="375"/>
      <c r="H58" s="375"/>
      <c r="I58" s="375"/>
      <c r="J58" s="375"/>
    </row>
    <row r="59" spans="1:10">
      <c r="A59" s="403" t="s">
        <v>1009</v>
      </c>
      <c r="B59" s="401" t="s">
        <v>460</v>
      </c>
      <c r="C59" s="401" t="s">
        <v>67</v>
      </c>
      <c r="D59" s="467">
        <v>24</v>
      </c>
      <c r="E59" s="446"/>
      <c r="F59" s="446">
        <f t="shared" si="1"/>
        <v>0</v>
      </c>
      <c r="G59" s="375"/>
      <c r="H59" s="375"/>
      <c r="I59" s="375"/>
      <c r="J59" s="375"/>
    </row>
    <row r="60" spans="1:10">
      <c r="A60" s="442" t="s">
        <v>482</v>
      </c>
      <c r="B60" s="443" t="s">
        <v>483</v>
      </c>
      <c r="C60" s="442"/>
      <c r="D60" s="472"/>
      <c r="E60" s="445"/>
      <c r="F60" s="445"/>
      <c r="G60" s="375"/>
      <c r="H60" s="375"/>
      <c r="I60" s="375"/>
      <c r="J60" s="375"/>
    </row>
    <row r="61" spans="1:10">
      <c r="A61" s="403" t="s">
        <v>484</v>
      </c>
      <c r="B61" s="401" t="s">
        <v>488</v>
      </c>
      <c r="C61" s="401" t="s">
        <v>3</v>
      </c>
      <c r="D61" s="467">
        <v>1</v>
      </c>
      <c r="E61" s="446"/>
      <c r="F61" s="446">
        <f t="shared" si="1"/>
        <v>0</v>
      </c>
      <c r="G61" s="375"/>
      <c r="H61" s="375"/>
      <c r="I61" s="375"/>
      <c r="J61" s="375"/>
    </row>
    <row r="62" spans="1:10">
      <c r="A62" s="403" t="s">
        <v>487</v>
      </c>
      <c r="B62" s="401" t="s">
        <v>485</v>
      </c>
      <c r="C62" s="401" t="s">
        <v>3</v>
      </c>
      <c r="D62" s="467">
        <v>1</v>
      </c>
      <c r="E62" s="446"/>
      <c r="F62" s="446">
        <f t="shared" si="1"/>
        <v>0</v>
      </c>
      <c r="G62" s="375"/>
      <c r="H62" s="375"/>
      <c r="I62" s="375"/>
      <c r="J62" s="375"/>
    </row>
    <row r="63" spans="1:10">
      <c r="A63" s="403" t="s">
        <v>490</v>
      </c>
      <c r="B63" s="401" t="s">
        <v>491</v>
      </c>
      <c r="C63" s="401" t="s">
        <v>3</v>
      </c>
      <c r="D63" s="467">
        <v>3</v>
      </c>
      <c r="E63" s="446"/>
      <c r="F63" s="446">
        <f t="shared" si="1"/>
        <v>0</v>
      </c>
      <c r="G63" s="375"/>
      <c r="H63" s="375"/>
      <c r="I63" s="375"/>
      <c r="J63" s="375"/>
    </row>
    <row r="64" spans="1:10">
      <c r="A64" s="403" t="s">
        <v>493</v>
      </c>
      <c r="B64" s="401" t="s">
        <v>494</v>
      </c>
      <c r="C64" s="401" t="s">
        <v>3</v>
      </c>
      <c r="D64" s="467">
        <v>1</v>
      </c>
      <c r="E64" s="446"/>
      <c r="F64" s="446">
        <f t="shared" si="1"/>
        <v>0</v>
      </c>
      <c r="G64" s="375"/>
      <c r="H64" s="375"/>
      <c r="I64" s="375"/>
      <c r="J64" s="375"/>
    </row>
    <row r="65" spans="1:10">
      <c r="A65" s="442" t="s">
        <v>1010</v>
      </c>
      <c r="B65" s="443" t="s">
        <v>72</v>
      </c>
      <c r="C65" s="442"/>
      <c r="D65" s="472"/>
      <c r="E65" s="445"/>
      <c r="F65" s="445"/>
      <c r="G65" s="375"/>
      <c r="H65" s="375"/>
      <c r="I65" s="375"/>
      <c r="J65" s="375"/>
    </row>
    <row r="66" spans="1:10">
      <c r="A66" s="442" t="s">
        <v>1011</v>
      </c>
      <c r="B66" s="443" t="s">
        <v>101</v>
      </c>
      <c r="C66" s="442"/>
      <c r="D66" s="472"/>
      <c r="E66" s="445"/>
      <c r="F66" s="445"/>
      <c r="G66" s="375"/>
      <c r="H66" s="375"/>
      <c r="I66" s="375"/>
      <c r="J66" s="375"/>
    </row>
    <row r="67" spans="1:10">
      <c r="A67" s="528" t="s">
        <v>1015</v>
      </c>
      <c r="B67" s="401" t="s">
        <v>107</v>
      </c>
      <c r="C67" s="401" t="s">
        <v>3</v>
      </c>
      <c r="D67" s="467">
        <v>1</v>
      </c>
      <c r="E67" s="446"/>
      <c r="F67" s="446">
        <f t="shared" si="1"/>
        <v>0</v>
      </c>
      <c r="G67" s="375"/>
      <c r="H67" s="375"/>
      <c r="I67" s="375"/>
      <c r="J67" s="375"/>
    </row>
    <row r="68" spans="1:10">
      <c r="A68" s="442" t="s">
        <v>1016</v>
      </c>
      <c r="B68" s="443" t="s">
        <v>75</v>
      </c>
      <c r="C68" s="442"/>
      <c r="D68" s="472"/>
      <c r="E68" s="445"/>
      <c r="F68" s="445"/>
      <c r="G68" s="375"/>
      <c r="H68" s="375"/>
      <c r="I68" s="375"/>
      <c r="J68" s="375"/>
    </row>
    <row r="69" spans="1:10" ht="27.6">
      <c r="A69" s="398" t="s">
        <v>1018</v>
      </c>
      <c r="B69" s="401" t="s">
        <v>86</v>
      </c>
      <c r="C69" s="401" t="s">
        <v>3</v>
      </c>
      <c r="D69" s="467">
        <v>2</v>
      </c>
      <c r="E69" s="446"/>
      <c r="F69" s="446">
        <f t="shared" si="1"/>
        <v>0</v>
      </c>
      <c r="G69" s="375"/>
      <c r="H69" s="375"/>
      <c r="I69" s="375"/>
      <c r="J69" s="375"/>
    </row>
    <row r="70" spans="1:10">
      <c r="A70" s="558"/>
      <c r="B70" s="512" t="s">
        <v>1149</v>
      </c>
      <c r="C70" s="513"/>
      <c r="D70" s="514"/>
      <c r="E70" s="515"/>
      <c r="F70" s="516">
        <f>SUM(F52:F69)</f>
        <v>0</v>
      </c>
      <c r="G70" s="375"/>
      <c r="H70" s="375"/>
      <c r="I70" s="375"/>
      <c r="J70" s="375"/>
    </row>
    <row r="71" spans="1:10">
      <c r="A71" s="558"/>
      <c r="B71" s="512" t="s">
        <v>1150</v>
      </c>
      <c r="C71" s="513"/>
      <c r="D71" s="514"/>
      <c r="E71" s="515"/>
      <c r="F71" s="516">
        <f>+F70+F46</f>
        <v>0</v>
      </c>
      <c r="G71" s="375"/>
      <c r="H71" s="375"/>
      <c r="I71" s="375"/>
      <c r="J71" s="375"/>
    </row>
    <row r="72" spans="1:10">
      <c r="A72" s="390"/>
      <c r="B72" s="420"/>
      <c r="C72" s="420"/>
      <c r="D72" s="532"/>
      <c r="E72" s="486"/>
      <c r="G72" s="375"/>
      <c r="H72" s="375"/>
      <c r="I72" s="375"/>
      <c r="J72" s="375"/>
    </row>
    <row r="73" spans="1:10">
      <c r="A73" s="498" t="s">
        <v>1262</v>
      </c>
      <c r="B73" s="498"/>
      <c r="C73" s="499"/>
      <c r="D73" s="500"/>
      <c r="E73" s="501"/>
      <c r="F73" s="501"/>
      <c r="G73" s="375"/>
      <c r="H73" s="375"/>
      <c r="I73" s="375"/>
      <c r="J73" s="375"/>
    </row>
    <row r="74" spans="1:10">
      <c r="A74" s="390"/>
      <c r="B74" s="420"/>
      <c r="C74" s="420"/>
      <c r="D74" s="532"/>
      <c r="E74" s="486"/>
      <c r="G74" s="375"/>
      <c r="H74" s="375"/>
      <c r="I74" s="375"/>
      <c r="J74" s="375"/>
    </row>
    <row r="75" spans="1:10">
      <c r="A75" s="438" t="s">
        <v>0</v>
      </c>
      <c r="B75" s="439" t="s">
        <v>967</v>
      </c>
      <c r="C75" s="438" t="s">
        <v>3</v>
      </c>
      <c r="D75" s="441" t="s">
        <v>4</v>
      </c>
      <c r="E75" s="441" t="s">
        <v>9</v>
      </c>
      <c r="F75" s="441" t="s">
        <v>10</v>
      </c>
      <c r="G75" s="375"/>
      <c r="H75" s="375"/>
      <c r="I75" s="375"/>
      <c r="J75" s="375"/>
    </row>
    <row r="76" spans="1:10">
      <c r="A76" s="442" t="s">
        <v>1034</v>
      </c>
      <c r="B76" s="443" t="s">
        <v>827</v>
      </c>
      <c r="C76" s="442"/>
      <c r="D76" s="472"/>
      <c r="E76" s="445"/>
      <c r="F76" s="445"/>
      <c r="G76" s="375"/>
      <c r="H76" s="375"/>
      <c r="I76" s="375"/>
      <c r="J76" s="375"/>
    </row>
    <row r="77" spans="1:10">
      <c r="A77" s="415" t="s">
        <v>1035</v>
      </c>
      <c r="B77" s="401" t="s">
        <v>831</v>
      </c>
      <c r="C77" s="401" t="s">
        <v>67</v>
      </c>
      <c r="D77" s="544">
        <v>12</v>
      </c>
      <c r="E77" s="446"/>
      <c r="F77" s="446">
        <f>+E77*D77</f>
        <v>0</v>
      </c>
      <c r="G77" s="375"/>
      <c r="H77" s="375"/>
      <c r="I77" s="375"/>
      <c r="J77" s="375"/>
    </row>
    <row r="78" spans="1:10">
      <c r="A78" s="415" t="s">
        <v>1036</v>
      </c>
      <c r="B78" s="401" t="s">
        <v>834</v>
      </c>
      <c r="C78" s="401" t="s">
        <v>67</v>
      </c>
      <c r="D78" s="544">
        <v>3</v>
      </c>
      <c r="E78" s="446"/>
      <c r="F78" s="446">
        <f t="shared" ref="F78:F95" si="2">+E78*D78</f>
        <v>0</v>
      </c>
      <c r="G78" s="375"/>
      <c r="H78" s="375"/>
      <c r="I78" s="375"/>
      <c r="J78" s="375"/>
    </row>
    <row r="79" spans="1:10">
      <c r="A79" s="415" t="s">
        <v>837</v>
      </c>
      <c r="B79" s="401" t="s">
        <v>836</v>
      </c>
      <c r="C79" s="401" t="s">
        <v>67</v>
      </c>
      <c r="D79" s="544">
        <v>12</v>
      </c>
      <c r="E79" s="446"/>
      <c r="F79" s="446">
        <f t="shared" si="2"/>
        <v>0</v>
      </c>
      <c r="G79" s="375"/>
      <c r="H79" s="375"/>
      <c r="I79" s="375"/>
      <c r="J79" s="375"/>
    </row>
    <row r="80" spans="1:10">
      <c r="A80" s="442" t="s">
        <v>899</v>
      </c>
      <c r="B80" s="443" t="s">
        <v>323</v>
      </c>
      <c r="C80" s="442"/>
      <c r="D80" s="472"/>
      <c r="E80" s="445"/>
      <c r="F80" s="445"/>
      <c r="G80" s="375"/>
      <c r="H80" s="375"/>
      <c r="I80" s="375"/>
      <c r="J80" s="375"/>
    </row>
    <row r="81" spans="1:10">
      <c r="A81" s="398" t="s">
        <v>900</v>
      </c>
      <c r="B81" s="401" t="s">
        <v>325</v>
      </c>
      <c r="C81" s="407" t="s">
        <v>326</v>
      </c>
      <c r="D81" s="545">
        <v>3</v>
      </c>
      <c r="E81" s="446"/>
      <c r="F81" s="446">
        <f t="shared" si="2"/>
        <v>0</v>
      </c>
      <c r="G81" s="375"/>
      <c r="H81" s="375"/>
      <c r="I81" s="375"/>
      <c r="J81" s="375"/>
    </row>
    <row r="82" spans="1:10">
      <c r="A82" s="398" t="s">
        <v>902</v>
      </c>
      <c r="B82" s="401" t="s">
        <v>328</v>
      </c>
      <c r="C82" s="401" t="s">
        <v>326</v>
      </c>
      <c r="D82" s="467">
        <v>27</v>
      </c>
      <c r="E82" s="446"/>
      <c r="F82" s="446">
        <f t="shared" si="2"/>
        <v>0</v>
      </c>
      <c r="G82" s="375"/>
      <c r="H82" s="375"/>
      <c r="I82" s="375"/>
      <c r="J82" s="375"/>
    </row>
    <row r="83" spans="1:10">
      <c r="A83" s="442" t="s">
        <v>1037</v>
      </c>
      <c r="B83" s="443" t="s">
        <v>14</v>
      </c>
      <c r="C83" s="442"/>
      <c r="D83" s="472"/>
      <c r="E83" s="445"/>
      <c r="F83" s="445"/>
      <c r="G83" s="375"/>
      <c r="H83" s="375"/>
      <c r="I83" s="375"/>
      <c r="J83" s="375"/>
    </row>
    <row r="84" spans="1:10">
      <c r="A84" s="415" t="s">
        <v>1038</v>
      </c>
      <c r="B84" s="407" t="s">
        <v>587</v>
      </c>
      <c r="C84" s="407" t="s">
        <v>326</v>
      </c>
      <c r="D84" s="545">
        <v>2</v>
      </c>
      <c r="E84" s="446"/>
      <c r="F84" s="446">
        <f t="shared" si="2"/>
        <v>0</v>
      </c>
      <c r="G84" s="375"/>
      <c r="H84" s="375"/>
      <c r="I84" s="375"/>
      <c r="J84" s="375"/>
    </row>
    <row r="85" spans="1:10">
      <c r="A85" s="415" t="s">
        <v>1040</v>
      </c>
      <c r="B85" s="401" t="s">
        <v>526</v>
      </c>
      <c r="C85" s="401" t="s">
        <v>326</v>
      </c>
      <c r="D85" s="467">
        <v>1</v>
      </c>
      <c r="E85" s="446"/>
      <c r="F85" s="446">
        <f t="shared" si="2"/>
        <v>0</v>
      </c>
      <c r="G85" s="375"/>
      <c r="H85" s="375"/>
      <c r="I85" s="375"/>
      <c r="J85" s="375"/>
    </row>
    <row r="86" spans="1:10">
      <c r="A86" s="415" t="s">
        <v>1041</v>
      </c>
      <c r="B86" s="401" t="s">
        <v>529</v>
      </c>
      <c r="C86" s="401" t="s">
        <v>326</v>
      </c>
      <c r="D86" s="467">
        <v>1</v>
      </c>
      <c r="E86" s="446"/>
      <c r="F86" s="446">
        <f t="shared" si="2"/>
        <v>0</v>
      </c>
      <c r="G86" s="375"/>
      <c r="H86" s="375"/>
      <c r="I86" s="375"/>
      <c r="J86" s="375"/>
    </row>
    <row r="87" spans="1:10">
      <c r="A87" s="415" t="s">
        <v>1042</v>
      </c>
      <c r="B87" s="401" t="s">
        <v>608</v>
      </c>
      <c r="C87" s="401" t="s">
        <v>326</v>
      </c>
      <c r="D87" s="467">
        <v>4</v>
      </c>
      <c r="E87" s="446"/>
      <c r="F87" s="446">
        <f t="shared" si="2"/>
        <v>0</v>
      </c>
      <c r="G87" s="375"/>
      <c r="H87" s="375"/>
      <c r="I87" s="375"/>
      <c r="J87" s="375"/>
    </row>
    <row r="88" spans="1:10">
      <c r="A88" s="415" t="s">
        <v>1043</v>
      </c>
      <c r="B88" s="401" t="s">
        <v>582</v>
      </c>
      <c r="C88" s="401" t="s">
        <v>326</v>
      </c>
      <c r="D88" s="467">
        <v>4</v>
      </c>
      <c r="E88" s="446"/>
      <c r="F88" s="446">
        <f t="shared" si="2"/>
        <v>0</v>
      </c>
      <c r="G88" s="375"/>
      <c r="H88" s="375"/>
      <c r="I88" s="375"/>
      <c r="J88" s="375"/>
    </row>
    <row r="89" spans="1:10">
      <c r="A89" s="415" t="s">
        <v>1044</v>
      </c>
      <c r="B89" s="401" t="s">
        <v>595</v>
      </c>
      <c r="C89" s="401" t="s">
        <v>326</v>
      </c>
      <c r="D89" s="467">
        <v>2</v>
      </c>
      <c r="E89" s="446"/>
      <c r="F89" s="446">
        <f t="shared" si="2"/>
        <v>0</v>
      </c>
      <c r="G89" s="375"/>
      <c r="H89" s="375"/>
      <c r="I89" s="375"/>
      <c r="J89" s="375"/>
    </row>
    <row r="90" spans="1:10">
      <c r="A90" s="415" t="s">
        <v>1045</v>
      </c>
      <c r="B90" s="401" t="s">
        <v>590</v>
      </c>
      <c r="C90" s="401" t="s">
        <v>326</v>
      </c>
      <c r="D90" s="467">
        <v>4</v>
      </c>
      <c r="E90" s="446"/>
      <c r="F90" s="446">
        <f t="shared" si="2"/>
        <v>0</v>
      </c>
      <c r="G90" s="375"/>
      <c r="H90" s="375"/>
      <c r="I90" s="375"/>
      <c r="J90" s="375"/>
    </row>
    <row r="91" spans="1:10">
      <c r="A91" s="415" t="s">
        <v>1046</v>
      </c>
      <c r="B91" s="401" t="s">
        <v>506</v>
      </c>
      <c r="C91" s="401" t="s">
        <v>326</v>
      </c>
      <c r="D91" s="467">
        <v>1</v>
      </c>
      <c r="E91" s="446"/>
      <c r="F91" s="446">
        <f t="shared" si="2"/>
        <v>0</v>
      </c>
      <c r="G91" s="375"/>
      <c r="H91" s="375"/>
      <c r="I91" s="375"/>
      <c r="J91" s="375"/>
    </row>
    <row r="92" spans="1:10">
      <c r="A92" s="415" t="s">
        <v>570</v>
      </c>
      <c r="B92" s="401" t="s">
        <v>571</v>
      </c>
      <c r="C92" s="401" t="s">
        <v>326</v>
      </c>
      <c r="D92" s="467">
        <v>1</v>
      </c>
      <c r="E92" s="446"/>
      <c r="F92" s="446">
        <f t="shared" si="2"/>
        <v>0</v>
      </c>
      <c r="G92" s="375"/>
      <c r="H92" s="375"/>
      <c r="I92" s="375"/>
      <c r="J92" s="375"/>
    </row>
    <row r="93" spans="1:10">
      <c r="A93" s="415" t="s">
        <v>1047</v>
      </c>
      <c r="B93" s="401" t="s">
        <v>553</v>
      </c>
      <c r="C93" s="401" t="s">
        <v>326</v>
      </c>
      <c r="D93" s="467">
        <v>1</v>
      </c>
      <c r="E93" s="446"/>
      <c r="F93" s="446">
        <f t="shared" si="2"/>
        <v>0</v>
      </c>
      <c r="G93" s="375"/>
      <c r="H93" s="375"/>
      <c r="I93" s="375"/>
      <c r="J93" s="375"/>
    </row>
    <row r="94" spans="1:10">
      <c r="A94" s="442" t="s">
        <v>1049</v>
      </c>
      <c r="B94" s="443" t="s">
        <v>683</v>
      </c>
      <c r="C94" s="442"/>
      <c r="D94" s="472"/>
      <c r="E94" s="445"/>
      <c r="F94" s="445"/>
      <c r="G94" s="375"/>
      <c r="H94" s="375"/>
      <c r="I94" s="375"/>
      <c r="J94" s="375"/>
    </row>
    <row r="95" spans="1:10">
      <c r="A95" s="404" t="s">
        <v>1053</v>
      </c>
      <c r="B95" s="401" t="s">
        <v>687</v>
      </c>
      <c r="C95" s="401" t="s">
        <v>326</v>
      </c>
      <c r="D95" s="467">
        <v>1</v>
      </c>
      <c r="E95" s="446"/>
      <c r="F95" s="446">
        <f t="shared" si="2"/>
        <v>0</v>
      </c>
      <c r="G95" s="375"/>
      <c r="H95" s="375"/>
      <c r="I95" s="375"/>
      <c r="J95" s="375"/>
    </row>
    <row r="96" spans="1:10">
      <c r="A96" s="558"/>
      <c r="B96" s="512" t="s">
        <v>1143</v>
      </c>
      <c r="C96" s="513"/>
      <c r="D96" s="514"/>
      <c r="E96" s="515"/>
      <c r="F96" s="516">
        <f>SUM(F77:F95)</f>
        <v>0</v>
      </c>
      <c r="G96" s="375"/>
      <c r="H96" s="375"/>
      <c r="I96" s="375"/>
      <c r="J96" s="375"/>
    </row>
    <row r="97" spans="1:10">
      <c r="A97" s="504"/>
      <c r="B97" s="419"/>
      <c r="C97" s="419"/>
      <c r="D97" s="533"/>
      <c r="E97" s="486"/>
      <c r="G97" s="375"/>
      <c r="H97" s="375"/>
      <c r="I97" s="375"/>
      <c r="J97" s="375"/>
    </row>
    <row r="98" spans="1:10">
      <c r="A98" s="498" t="s">
        <v>1263</v>
      </c>
      <c r="B98" s="498"/>
      <c r="C98" s="499"/>
      <c r="D98" s="500"/>
      <c r="E98" s="501"/>
      <c r="F98" s="501"/>
      <c r="G98" s="375"/>
      <c r="H98" s="375"/>
      <c r="I98" s="375"/>
      <c r="J98" s="375"/>
    </row>
    <row r="99" spans="1:10">
      <c r="A99" s="390"/>
      <c r="B99" s="420"/>
      <c r="C99" s="420"/>
      <c r="D99" s="532"/>
      <c r="E99" s="486"/>
      <c r="G99" s="375"/>
      <c r="H99" s="375"/>
      <c r="I99" s="375"/>
      <c r="J99" s="375"/>
    </row>
    <row r="100" spans="1:10">
      <c r="A100" s="438" t="s">
        <v>0</v>
      </c>
      <c r="B100" s="439" t="s">
        <v>967</v>
      </c>
      <c r="C100" s="438" t="s">
        <v>3</v>
      </c>
      <c r="D100" s="441" t="s">
        <v>4</v>
      </c>
      <c r="E100" s="441" t="s">
        <v>9</v>
      </c>
      <c r="F100" s="441" t="s">
        <v>10</v>
      </c>
      <c r="G100" s="375"/>
      <c r="H100" s="375"/>
      <c r="I100" s="375"/>
      <c r="J100" s="375"/>
    </row>
    <row r="101" spans="1:10">
      <c r="A101" s="442" t="s">
        <v>773</v>
      </c>
      <c r="B101" s="443" t="s">
        <v>774</v>
      </c>
      <c r="C101" s="442"/>
      <c r="D101" s="472"/>
      <c r="E101" s="445"/>
      <c r="F101" s="445"/>
      <c r="G101" s="375"/>
      <c r="H101" s="375"/>
      <c r="I101" s="375"/>
      <c r="J101" s="375"/>
    </row>
    <row r="102" spans="1:10">
      <c r="A102" s="415" t="s">
        <v>785</v>
      </c>
      <c r="B102" s="401" t="s">
        <v>779</v>
      </c>
      <c r="C102" s="401" t="s">
        <v>123</v>
      </c>
      <c r="D102" s="467">
        <v>1</v>
      </c>
      <c r="E102" s="446"/>
      <c r="F102" s="446">
        <f>+E102*D102</f>
        <v>0</v>
      </c>
      <c r="G102" s="375"/>
      <c r="H102" s="375"/>
      <c r="I102" s="375"/>
      <c r="J102" s="375"/>
    </row>
    <row r="103" spans="1:10">
      <c r="A103" s="415" t="s">
        <v>778</v>
      </c>
      <c r="B103" s="401" t="s">
        <v>782</v>
      </c>
      <c r="C103" s="401" t="s">
        <v>1264</v>
      </c>
      <c r="D103" s="467">
        <v>2</v>
      </c>
      <c r="E103" s="446"/>
      <c r="F103" s="446">
        <f t="shared" ref="F103:F110" si="3">+E103*D103</f>
        <v>0</v>
      </c>
      <c r="G103" s="375"/>
      <c r="H103" s="375"/>
      <c r="I103" s="375"/>
      <c r="J103" s="375"/>
    </row>
    <row r="104" spans="1:10">
      <c r="A104" s="415" t="s">
        <v>784</v>
      </c>
      <c r="B104" s="401" t="s">
        <v>787</v>
      </c>
      <c r="C104" s="401" t="s">
        <v>1264</v>
      </c>
      <c r="D104" s="467">
        <v>3.7</v>
      </c>
      <c r="E104" s="446"/>
      <c r="F104" s="446">
        <f t="shared" si="3"/>
        <v>0</v>
      </c>
      <c r="G104" s="375"/>
      <c r="H104" s="375"/>
      <c r="I104" s="375"/>
      <c r="J104" s="375"/>
    </row>
    <row r="105" spans="1:10">
      <c r="A105" s="415" t="s">
        <v>788</v>
      </c>
      <c r="B105" s="401" t="s">
        <v>790</v>
      </c>
      <c r="C105" s="401" t="s">
        <v>1264</v>
      </c>
      <c r="D105" s="467">
        <v>4</v>
      </c>
      <c r="E105" s="446"/>
      <c r="F105" s="446">
        <f t="shared" si="3"/>
        <v>0</v>
      </c>
      <c r="G105" s="375"/>
      <c r="H105" s="375"/>
      <c r="I105" s="375"/>
      <c r="J105" s="375"/>
    </row>
    <row r="106" spans="1:10">
      <c r="A106" s="415" t="s">
        <v>791</v>
      </c>
      <c r="B106" s="401" t="s">
        <v>795</v>
      </c>
      <c r="C106" s="401" t="s">
        <v>1265</v>
      </c>
      <c r="D106" s="467">
        <v>2.8</v>
      </c>
      <c r="E106" s="446"/>
      <c r="F106" s="446">
        <f t="shared" si="3"/>
        <v>0</v>
      </c>
      <c r="G106" s="375"/>
      <c r="H106" s="375"/>
      <c r="I106" s="375"/>
      <c r="J106" s="375"/>
    </row>
    <row r="107" spans="1:10">
      <c r="A107" s="415" t="s">
        <v>796</v>
      </c>
      <c r="B107" s="401" t="s">
        <v>798</v>
      </c>
      <c r="C107" s="401" t="s">
        <v>1266</v>
      </c>
      <c r="D107" s="467">
        <v>1</v>
      </c>
      <c r="E107" s="446"/>
      <c r="F107" s="446">
        <f t="shared" si="3"/>
        <v>0</v>
      </c>
      <c r="G107" s="375"/>
      <c r="H107" s="375"/>
      <c r="I107" s="375"/>
      <c r="J107" s="375"/>
    </row>
    <row r="108" spans="1:10">
      <c r="A108" s="415" t="s">
        <v>799</v>
      </c>
      <c r="B108" s="401" t="s">
        <v>1058</v>
      </c>
      <c r="C108" s="401" t="s">
        <v>794</v>
      </c>
      <c r="D108" s="467">
        <v>35</v>
      </c>
      <c r="E108" s="446"/>
      <c r="F108" s="446">
        <f t="shared" si="3"/>
        <v>0</v>
      </c>
      <c r="G108" s="375"/>
      <c r="H108" s="375"/>
      <c r="I108" s="375"/>
      <c r="J108" s="375"/>
    </row>
    <row r="109" spans="1:10">
      <c r="A109" s="415" t="s">
        <v>801</v>
      </c>
      <c r="B109" s="401" t="s">
        <v>805</v>
      </c>
      <c r="C109" s="401" t="s">
        <v>67</v>
      </c>
      <c r="D109" s="467">
        <v>9</v>
      </c>
      <c r="E109" s="446"/>
      <c r="F109" s="446">
        <f t="shared" si="3"/>
        <v>0</v>
      </c>
      <c r="G109" s="375"/>
      <c r="H109" s="375"/>
      <c r="I109" s="375"/>
      <c r="J109" s="375"/>
    </row>
    <row r="110" spans="1:10">
      <c r="A110" s="415" t="s">
        <v>808</v>
      </c>
      <c r="B110" s="401" t="s">
        <v>809</v>
      </c>
      <c r="C110" s="401" t="s">
        <v>85</v>
      </c>
      <c r="D110" s="467">
        <v>2</v>
      </c>
      <c r="E110" s="446"/>
      <c r="F110" s="446">
        <f t="shared" si="3"/>
        <v>0</v>
      </c>
      <c r="G110" s="375"/>
      <c r="H110" s="375"/>
      <c r="I110" s="375"/>
      <c r="J110" s="375"/>
    </row>
    <row r="111" spans="1:10">
      <c r="A111" s="558"/>
      <c r="B111" s="512" t="s">
        <v>1191</v>
      </c>
      <c r="C111" s="513"/>
      <c r="D111" s="514"/>
      <c r="E111" s="515"/>
      <c r="F111" s="516">
        <f>SUM(F102:F110)</f>
        <v>0</v>
      </c>
      <c r="G111" s="375"/>
      <c r="H111" s="375"/>
      <c r="I111" s="375"/>
      <c r="J111" s="375"/>
    </row>
    <row r="112" spans="1:10">
      <c r="A112" s="558"/>
      <c r="B112" s="512" t="s">
        <v>1267</v>
      </c>
      <c r="C112" s="513"/>
      <c r="D112" s="514"/>
      <c r="E112" s="515"/>
      <c r="F112" s="516">
        <f>+F111+F96</f>
        <v>0</v>
      </c>
      <c r="G112" s="375"/>
      <c r="H112" s="375"/>
      <c r="I112" s="375"/>
      <c r="J112" s="375"/>
    </row>
    <row r="113" spans="1:11">
      <c r="A113" s="390"/>
      <c r="B113" s="420"/>
      <c r="C113" s="420"/>
      <c r="D113" s="532"/>
      <c r="E113" s="486"/>
      <c r="G113" s="375"/>
      <c r="H113" s="375"/>
      <c r="I113" s="375"/>
      <c r="J113" s="375"/>
    </row>
    <row r="114" spans="1:11">
      <c r="A114" s="498" t="s">
        <v>1268</v>
      </c>
      <c r="B114" s="498"/>
      <c r="C114" s="499"/>
      <c r="D114" s="500"/>
      <c r="E114" s="501"/>
      <c r="F114" s="501"/>
      <c r="G114" s="375"/>
      <c r="H114" s="375"/>
      <c r="I114" s="375"/>
      <c r="J114" s="375"/>
      <c r="K114" s="375"/>
    </row>
    <row r="115" spans="1:11">
      <c r="A115" s="390"/>
      <c r="B115" s="420"/>
      <c r="C115" s="420"/>
      <c r="D115" s="532"/>
      <c r="E115" s="486"/>
      <c r="G115" s="375"/>
      <c r="H115" s="375"/>
      <c r="I115" s="375"/>
      <c r="J115" s="375"/>
    </row>
    <row r="116" spans="1:11">
      <c r="A116" s="438" t="s">
        <v>0</v>
      </c>
      <c r="B116" s="439" t="s">
        <v>1155</v>
      </c>
      <c r="C116" s="438" t="s">
        <v>3</v>
      </c>
      <c r="D116" s="441" t="s">
        <v>839</v>
      </c>
      <c r="E116" s="441" t="s">
        <v>1097</v>
      </c>
      <c r="F116" s="441" t="s">
        <v>1199</v>
      </c>
      <c r="G116" s="375"/>
      <c r="H116" s="375"/>
      <c r="I116" s="375"/>
      <c r="J116" s="375"/>
    </row>
    <row r="117" spans="1:11">
      <c r="A117" s="442" t="s">
        <v>931</v>
      </c>
      <c r="B117" s="443" t="s">
        <v>206</v>
      </c>
      <c r="C117" s="442"/>
      <c r="D117" s="472"/>
      <c r="E117" s="445"/>
      <c r="F117" s="445"/>
      <c r="G117" s="375"/>
      <c r="H117" s="375"/>
      <c r="I117" s="375"/>
      <c r="J117" s="375"/>
    </row>
    <row r="118" spans="1:11">
      <c r="A118" s="442" t="s">
        <v>932</v>
      </c>
      <c r="B118" s="443" t="s">
        <v>208</v>
      </c>
      <c r="C118" s="442"/>
      <c r="D118" s="472"/>
      <c r="E118" s="445"/>
      <c r="F118" s="445"/>
      <c r="G118" s="375"/>
      <c r="H118" s="375"/>
      <c r="I118" s="375"/>
      <c r="J118" s="375"/>
    </row>
    <row r="119" spans="1:11">
      <c r="A119" s="406" t="s">
        <v>210</v>
      </c>
      <c r="B119" s="401" t="s">
        <v>216</v>
      </c>
      <c r="C119" s="399" t="s">
        <v>147</v>
      </c>
      <c r="D119" s="543">
        <v>4</v>
      </c>
      <c r="E119" s="446"/>
      <c r="F119" s="446">
        <f>+E119*D119</f>
        <v>0</v>
      </c>
      <c r="G119" s="375"/>
      <c r="H119" s="375"/>
      <c r="I119" s="375"/>
      <c r="J119" s="375"/>
    </row>
    <row r="120" spans="1:11">
      <c r="A120" s="442" t="s">
        <v>933</v>
      </c>
      <c r="B120" s="443" t="s">
        <v>220</v>
      </c>
      <c r="C120" s="442"/>
      <c r="D120" s="472"/>
      <c r="E120" s="445"/>
      <c r="F120" s="445"/>
      <c r="G120" s="375"/>
      <c r="H120" s="375"/>
      <c r="I120" s="375"/>
      <c r="J120" s="375"/>
    </row>
    <row r="121" spans="1:11">
      <c r="A121" s="406" t="s">
        <v>934</v>
      </c>
      <c r="B121" s="401" t="s">
        <v>223</v>
      </c>
      <c r="C121" s="399" t="s">
        <v>224</v>
      </c>
      <c r="D121" s="543">
        <v>2</v>
      </c>
      <c r="E121" s="446"/>
      <c r="F121" s="446">
        <f t="shared" ref="F121:F139" si="4">+E121*D121</f>
        <v>0</v>
      </c>
      <c r="G121" s="375"/>
      <c r="H121" s="375"/>
      <c r="I121" s="375"/>
      <c r="J121" s="375"/>
    </row>
    <row r="122" spans="1:11">
      <c r="A122" s="406" t="s">
        <v>936</v>
      </c>
      <c r="B122" s="401" t="s">
        <v>229</v>
      </c>
      <c r="C122" s="399" t="s">
        <v>224</v>
      </c>
      <c r="D122" s="543">
        <v>2</v>
      </c>
      <c r="E122" s="446"/>
      <c r="F122" s="446">
        <f t="shared" si="4"/>
        <v>0</v>
      </c>
      <c r="G122" s="375"/>
      <c r="H122" s="375"/>
      <c r="I122" s="375"/>
      <c r="J122" s="375"/>
    </row>
    <row r="123" spans="1:11">
      <c r="A123" s="406" t="s">
        <v>937</v>
      </c>
      <c r="B123" s="401" t="s">
        <v>126</v>
      </c>
      <c r="C123" s="399" t="s">
        <v>67</v>
      </c>
      <c r="D123" s="543">
        <v>400</v>
      </c>
      <c r="E123" s="446"/>
      <c r="F123" s="446">
        <f t="shared" si="4"/>
        <v>0</v>
      </c>
      <c r="G123" s="375"/>
      <c r="H123" s="375"/>
      <c r="I123" s="375"/>
      <c r="J123" s="375"/>
    </row>
    <row r="124" spans="1:11">
      <c r="A124" s="406" t="s">
        <v>938</v>
      </c>
      <c r="B124" s="401" t="s">
        <v>122</v>
      </c>
      <c r="C124" s="399" t="s">
        <v>123</v>
      </c>
      <c r="D124" s="543">
        <v>1</v>
      </c>
      <c r="E124" s="446"/>
      <c r="F124" s="446">
        <f t="shared" si="4"/>
        <v>0</v>
      </c>
      <c r="G124" s="375"/>
      <c r="H124" s="375"/>
      <c r="I124" s="375"/>
      <c r="J124" s="375"/>
    </row>
    <row r="125" spans="1:11">
      <c r="A125" s="442" t="s">
        <v>939</v>
      </c>
      <c r="B125" s="443" t="s">
        <v>152</v>
      </c>
      <c r="C125" s="442"/>
      <c r="D125" s="472"/>
      <c r="E125" s="445"/>
      <c r="F125" s="445"/>
      <c r="G125" s="375"/>
      <c r="H125" s="375"/>
      <c r="I125" s="375"/>
      <c r="J125" s="375"/>
    </row>
    <row r="126" spans="1:11">
      <c r="A126" s="406" t="s">
        <v>153</v>
      </c>
      <c r="B126" s="401" t="s">
        <v>154</v>
      </c>
      <c r="C126" s="399" t="s">
        <v>155</v>
      </c>
      <c r="D126" s="543">
        <v>1</v>
      </c>
      <c r="E126" s="446"/>
      <c r="F126" s="446">
        <f t="shared" si="4"/>
        <v>0</v>
      </c>
      <c r="G126" s="375"/>
      <c r="H126" s="375"/>
      <c r="I126" s="375"/>
      <c r="J126" s="375"/>
    </row>
    <row r="127" spans="1:11">
      <c r="A127" s="442" t="s">
        <v>940</v>
      </c>
      <c r="B127" s="443" t="s">
        <v>144</v>
      </c>
      <c r="C127" s="442"/>
      <c r="D127" s="472"/>
      <c r="E127" s="445"/>
      <c r="F127" s="445"/>
      <c r="G127" s="375"/>
      <c r="H127" s="375"/>
      <c r="I127" s="375"/>
      <c r="J127" s="375"/>
    </row>
    <row r="128" spans="1:11">
      <c r="A128" s="406" t="s">
        <v>941</v>
      </c>
      <c r="B128" s="401" t="s">
        <v>150</v>
      </c>
      <c r="C128" s="399" t="s">
        <v>147</v>
      </c>
      <c r="D128" s="546">
        <v>26</v>
      </c>
      <c r="E128" s="446"/>
      <c r="F128" s="446">
        <f t="shared" si="4"/>
        <v>0</v>
      </c>
      <c r="G128" s="375"/>
      <c r="H128" s="375"/>
      <c r="I128" s="375"/>
      <c r="J128" s="375"/>
    </row>
    <row r="129" spans="1:10">
      <c r="A129" s="406" t="s">
        <v>942</v>
      </c>
      <c r="B129" s="401" t="s">
        <v>148</v>
      </c>
      <c r="C129" s="399" t="s">
        <v>147</v>
      </c>
      <c r="D129" s="546">
        <v>11</v>
      </c>
      <c r="E129" s="446"/>
      <c r="F129" s="446">
        <f t="shared" si="4"/>
        <v>0</v>
      </c>
      <c r="G129" s="375"/>
      <c r="H129" s="375"/>
      <c r="I129" s="375"/>
      <c r="J129" s="375"/>
    </row>
    <row r="130" spans="1:10">
      <c r="A130" s="442" t="s">
        <v>943</v>
      </c>
      <c r="B130" s="443" t="s">
        <v>162</v>
      </c>
      <c r="C130" s="442"/>
      <c r="D130" s="472"/>
      <c r="E130" s="445"/>
      <c r="F130" s="445"/>
      <c r="G130" s="375"/>
      <c r="H130" s="375"/>
      <c r="I130" s="375"/>
      <c r="J130" s="375"/>
    </row>
    <row r="131" spans="1:10" ht="27.6">
      <c r="A131" s="406" t="s">
        <v>944</v>
      </c>
      <c r="B131" s="401" t="s">
        <v>1269</v>
      </c>
      <c r="C131" s="399" t="s">
        <v>147</v>
      </c>
      <c r="D131" s="543">
        <v>36</v>
      </c>
      <c r="E131" s="446"/>
      <c r="F131" s="446">
        <f t="shared" si="4"/>
        <v>0</v>
      </c>
      <c r="G131" s="375"/>
      <c r="H131" s="375"/>
      <c r="I131" s="375"/>
      <c r="J131" s="375"/>
    </row>
    <row r="132" spans="1:10">
      <c r="A132" s="442" t="s">
        <v>946</v>
      </c>
      <c r="B132" s="443" t="s">
        <v>171</v>
      </c>
      <c r="C132" s="442"/>
      <c r="D132" s="472"/>
      <c r="E132" s="445"/>
      <c r="F132" s="445"/>
      <c r="G132" s="375"/>
      <c r="H132" s="375"/>
      <c r="I132" s="375"/>
      <c r="J132" s="375"/>
    </row>
    <row r="133" spans="1:10">
      <c r="A133" s="406" t="s">
        <v>951</v>
      </c>
      <c r="B133" s="401" t="s">
        <v>188</v>
      </c>
      <c r="C133" s="399" t="s">
        <v>175</v>
      </c>
      <c r="D133" s="543">
        <v>6</v>
      </c>
      <c r="E133" s="446"/>
      <c r="F133" s="446">
        <f t="shared" si="4"/>
        <v>0</v>
      </c>
      <c r="G133" s="375"/>
      <c r="H133" s="375"/>
      <c r="I133" s="375"/>
      <c r="J133" s="375"/>
    </row>
    <row r="134" spans="1:10">
      <c r="A134" s="406" t="s">
        <v>952</v>
      </c>
      <c r="B134" s="401" t="s">
        <v>174</v>
      </c>
      <c r="C134" s="399" t="s">
        <v>175</v>
      </c>
      <c r="D134" s="543">
        <v>4</v>
      </c>
      <c r="E134" s="446"/>
      <c r="F134" s="446">
        <f t="shared" si="4"/>
        <v>0</v>
      </c>
      <c r="G134" s="375"/>
      <c r="H134" s="375"/>
      <c r="I134" s="375"/>
      <c r="J134" s="375"/>
    </row>
    <row r="135" spans="1:10">
      <c r="A135" s="406" t="s">
        <v>953</v>
      </c>
      <c r="B135" s="401" t="s">
        <v>180</v>
      </c>
      <c r="C135" s="399" t="s">
        <v>181</v>
      </c>
      <c r="D135" s="543">
        <v>1</v>
      </c>
      <c r="E135" s="446"/>
      <c r="F135" s="446">
        <f t="shared" si="4"/>
        <v>0</v>
      </c>
      <c r="G135" s="375"/>
      <c r="H135" s="375"/>
      <c r="I135" s="375"/>
      <c r="J135" s="375"/>
    </row>
    <row r="136" spans="1:10">
      <c r="A136" s="406" t="s">
        <v>959</v>
      </c>
      <c r="B136" s="401" t="s">
        <v>193</v>
      </c>
      <c r="C136" s="399" t="s">
        <v>175</v>
      </c>
      <c r="D136" s="543">
        <v>4</v>
      </c>
      <c r="E136" s="446"/>
      <c r="F136" s="446">
        <f>+E136*D136</f>
        <v>0</v>
      </c>
      <c r="G136" s="375"/>
      <c r="H136" s="375"/>
      <c r="I136" s="375"/>
      <c r="J136" s="375"/>
    </row>
    <row r="137" spans="1:10">
      <c r="A137" s="406" t="s">
        <v>960</v>
      </c>
      <c r="B137" s="401" t="s">
        <v>196</v>
      </c>
      <c r="C137" s="399" t="s">
        <v>175</v>
      </c>
      <c r="D137" s="543">
        <v>1</v>
      </c>
      <c r="E137" s="446"/>
      <c r="F137" s="446">
        <f>+E137*D137</f>
        <v>0</v>
      </c>
      <c r="G137" s="375"/>
      <c r="H137" s="375"/>
      <c r="I137" s="375"/>
      <c r="J137" s="375"/>
    </row>
    <row r="138" spans="1:10">
      <c r="A138" s="442" t="s">
        <v>963</v>
      </c>
      <c r="B138" s="443" t="s">
        <v>157</v>
      </c>
      <c r="C138" s="442"/>
      <c r="D138" s="472"/>
      <c r="E138" s="445"/>
      <c r="F138" s="445"/>
      <c r="G138" s="375"/>
      <c r="H138" s="375"/>
      <c r="I138" s="375"/>
      <c r="J138" s="375"/>
    </row>
    <row r="139" spans="1:10">
      <c r="A139" s="406" t="s">
        <v>964</v>
      </c>
      <c r="B139" s="401" t="s">
        <v>159</v>
      </c>
      <c r="C139" s="399" t="s">
        <v>147</v>
      </c>
      <c r="D139" s="543">
        <v>1</v>
      </c>
      <c r="E139" s="446"/>
      <c r="F139" s="446">
        <f t="shared" si="4"/>
        <v>0</v>
      </c>
      <c r="G139" s="375"/>
      <c r="H139" s="375"/>
      <c r="I139" s="375"/>
      <c r="J139" s="375"/>
    </row>
    <row r="140" spans="1:10">
      <c r="A140" s="558"/>
      <c r="B140" s="512" t="s">
        <v>1157</v>
      </c>
      <c r="C140" s="513"/>
      <c r="D140" s="514"/>
      <c r="E140" s="515"/>
      <c r="F140" s="516">
        <f>SUM(F119:F139)</f>
        <v>0</v>
      </c>
      <c r="G140" s="375"/>
      <c r="H140" s="375"/>
      <c r="I140" s="375"/>
      <c r="J140" s="375"/>
    </row>
    <row r="141" spans="1:10">
      <c r="A141" s="418"/>
      <c r="B141" s="420"/>
      <c r="C141" s="420"/>
      <c r="D141" s="532"/>
      <c r="E141" s="486"/>
      <c r="G141" s="375"/>
      <c r="H141" s="375"/>
      <c r="I141" s="375"/>
      <c r="J141" s="375"/>
    </row>
    <row r="142" spans="1:10">
      <c r="A142" s="394"/>
      <c r="B142" s="559" t="s">
        <v>1213</v>
      </c>
      <c r="C142" s="562"/>
      <c r="D142" s="563"/>
      <c r="E142" s="559"/>
      <c r="F142" s="516">
        <f>+F140+F112+F71</f>
        <v>0</v>
      </c>
      <c r="G142" s="375"/>
      <c r="H142" s="375"/>
      <c r="I142" s="375"/>
      <c r="J142" s="375"/>
    </row>
    <row r="143" spans="1:10">
      <c r="A143" s="394"/>
      <c r="B143" s="559" t="s">
        <v>1195</v>
      </c>
      <c r="C143" s="562"/>
      <c r="D143" s="563"/>
      <c r="E143" s="559"/>
      <c r="F143" s="516">
        <f>+F142*0.18</f>
        <v>0</v>
      </c>
      <c r="G143" s="375"/>
      <c r="H143" s="375"/>
      <c r="I143" s="375"/>
      <c r="J143" s="375"/>
    </row>
    <row r="144" spans="1:10">
      <c r="A144" s="394"/>
      <c r="B144" s="559" t="s">
        <v>1196</v>
      </c>
      <c r="C144" s="562"/>
      <c r="D144" s="563"/>
      <c r="E144" s="559"/>
      <c r="F144" s="516">
        <f>+F142+F143</f>
        <v>0</v>
      </c>
      <c r="G144" s="375"/>
      <c r="H144" s="375"/>
      <c r="I144" s="375"/>
      <c r="J144" s="375"/>
    </row>
  </sheetData>
  <mergeCells count="1"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1</Value>
      <Value>6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BDIENABEL-844965907-391890</_dlc_DocId>
    <_dlc_DocIdUrl xmlns="508ba6eb-9e09-4fd5-92f2-2d9921329f2d">
      <Url>https://enabelbe.sharepoint.com/sites/BDI/_layouts/15/DocIdRedir.aspx?ID=BDIENABEL-844965907-391890</Url>
      <Description>BDIENABEL-844965907-391890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8" ma:contentTypeDescription="Create a new document." ma:contentTypeScope="" ma:versionID="ee5177094fbc893331499691cb1cef23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7e2e0e51fb9c43d79d96d7e678c9faba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1C4FB6-51AE-4686-9DA0-F568C26ACFAB}"/>
</file>

<file path=customXml/itemProps2.xml><?xml version="1.0" encoding="utf-8"?>
<ds:datastoreItem xmlns:ds="http://schemas.openxmlformats.org/officeDocument/2006/customXml" ds:itemID="{5B4C6FB8-1045-4E42-A064-228B6AB67C1C}"/>
</file>

<file path=customXml/itemProps3.xml><?xml version="1.0" encoding="utf-8"?>
<ds:datastoreItem xmlns:ds="http://schemas.openxmlformats.org/officeDocument/2006/customXml" ds:itemID="{4C635D0F-6DBF-41F6-A6C7-56A5BC78FB83}"/>
</file>

<file path=customXml/itemProps4.xml><?xml version="1.0" encoding="utf-8"?>
<ds:datastoreItem xmlns:ds="http://schemas.openxmlformats.org/officeDocument/2006/customXml" ds:itemID="{F865B517-5D04-459A-A3A5-DF3629E99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</dc:creator>
  <cp:keywords/>
  <dc:description/>
  <cp:lastModifiedBy>NINEZA, Navalo</cp:lastModifiedBy>
  <cp:revision/>
  <dcterms:created xsi:type="dcterms:W3CDTF">2025-06-29T16:32:52Z</dcterms:created>
  <dcterms:modified xsi:type="dcterms:W3CDTF">2025-07-29T14:28:37Z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lpwstr>6;#FR|e5b11214-e6fc-4287-b1cb-b050c041462c</vt:lpwstr>
  </property>
  <property fmtid="{D5CDD505-2E9C-101B-9397-08002B2CF9AE}" pid="4" name="Country">
    <vt:lpwstr>1;#BDI|6a9dcac3-72aa-4e48-8d07-6a290ee11ae9</vt:lpwstr>
  </property>
  <property fmtid="{D5CDD505-2E9C-101B-9397-08002B2CF9AE}" pid="5" name="_dlc_DocIdItemGuid">
    <vt:lpwstr>3379a0d0-6804-4336-b5d7-66b9e3391243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