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rchés publics\Marchés publics &amp;Subsides\Programme bilatéral\Climat\MLI21003-10292-Travaux AGR\2-CSC\"/>
    </mc:Choice>
  </mc:AlternateContent>
  <xr:revisionPtr revIDLastSave="0" documentId="13_ncr:1_{55B197C9-DC45-447D-97DE-F5A301B5D8FE}" xr6:coauthVersionLast="47" xr6:coauthVersionMax="47" xr10:uidLastSave="{00000000-0000-0000-0000-000000000000}"/>
  <bookViews>
    <workbookView xWindow="-110" yWindow="-110" windowWidth="19420" windowHeight="11500" firstSheet="1" activeTab="3" xr2:uid="{2FCD70D6-956B-46CF-AE4D-CF5696190E7C}"/>
  </bookViews>
  <sheets>
    <sheet name="DQ LOT1 Tranche ferme" sheetId="1" r:id="rId1"/>
    <sheet name="DQ LOT2 Tranche ferme" sheetId="2" r:id="rId2"/>
    <sheet name="DQ LOT3 Tranche ferme" sheetId="3" r:id="rId3"/>
    <sheet name="DQ LOT4 Tranche fer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5" i="4" l="1"/>
  <c r="D322" i="4"/>
  <c r="D321" i="4"/>
  <c r="D323" i="4" s="1"/>
  <c r="D320" i="4"/>
  <c r="D311" i="4"/>
  <c r="D310" i="4"/>
  <c r="D309" i="4"/>
  <c r="D305" i="4"/>
  <c r="D304" i="4"/>
  <c r="D303" i="4"/>
  <c r="D302" i="4"/>
  <c r="D301" i="4"/>
  <c r="D300" i="4"/>
  <c r="D297" i="4"/>
  <c r="D296" i="4"/>
  <c r="D295" i="4"/>
  <c r="D294" i="4"/>
  <c r="D293" i="4"/>
  <c r="D292" i="4"/>
  <c r="D291" i="4"/>
  <c r="D286" i="4"/>
  <c r="D287" i="4" s="1"/>
  <c r="D285" i="4"/>
  <c r="D284" i="4"/>
  <c r="D288" i="4" l="1"/>
  <c r="D246" i="4" l="1"/>
  <c r="D245" i="4"/>
  <c r="D247" i="4" s="1"/>
  <c r="D239" i="4"/>
  <c r="D238" i="4"/>
  <c r="D237" i="4"/>
  <c r="D234" i="4"/>
  <c r="D233" i="4"/>
  <c r="D232" i="4"/>
  <c r="D231" i="4"/>
  <c r="D228" i="4"/>
  <c r="D227" i="4"/>
  <c r="D226" i="4"/>
  <c r="D225" i="4"/>
  <c r="D224" i="4"/>
  <c r="D223" i="4"/>
  <c r="D222" i="4"/>
  <c r="D221" i="4"/>
  <c r="D217" i="4"/>
  <c r="D216" i="4"/>
  <c r="D215" i="4"/>
  <c r="D200" i="4"/>
  <c r="D197" i="4"/>
  <c r="D196" i="4"/>
  <c r="D198" i="4" s="1"/>
  <c r="D187" i="4"/>
  <c r="D186" i="4"/>
  <c r="D185" i="4"/>
  <c r="D182" i="4"/>
  <c r="D181" i="4"/>
  <c r="D180" i="4"/>
  <c r="D179" i="4"/>
  <c r="D178" i="4"/>
  <c r="D175" i="4"/>
  <c r="D174" i="4"/>
  <c r="D173" i="4"/>
  <c r="D172" i="4"/>
  <c r="D171" i="4"/>
  <c r="D170" i="4"/>
  <c r="D169" i="4"/>
  <c r="D164" i="4"/>
  <c r="D163" i="4"/>
  <c r="D162" i="4"/>
  <c r="D147" i="4"/>
  <c r="D144" i="4"/>
  <c r="D143" i="4"/>
  <c r="D145" i="4" s="1"/>
  <c r="D134" i="4"/>
  <c r="D133" i="4"/>
  <c r="D132" i="4"/>
  <c r="D128" i="4"/>
  <c r="D127" i="4"/>
  <c r="D126" i="4"/>
  <c r="D125" i="4"/>
  <c r="D124" i="4"/>
  <c r="D123" i="4"/>
  <c r="D120" i="4"/>
  <c r="D119" i="4"/>
  <c r="D118" i="4"/>
  <c r="D117" i="4"/>
  <c r="D116" i="4"/>
  <c r="D115" i="4"/>
  <c r="D114" i="4"/>
  <c r="D113" i="4"/>
  <c r="D108" i="4"/>
  <c r="D109" i="4" s="1"/>
  <c r="D107" i="4"/>
  <c r="D106" i="4"/>
  <c r="D92" i="4"/>
  <c r="D88" i="4"/>
  <c r="D90" i="4" s="1"/>
  <c r="D87" i="4"/>
  <c r="D78" i="4"/>
  <c r="D91" i="4" s="1"/>
  <c r="D77" i="4"/>
  <c r="D75" i="4"/>
  <c r="D72" i="4"/>
  <c r="D71" i="4"/>
  <c r="D70" i="4"/>
  <c r="D69" i="4"/>
  <c r="D68" i="4"/>
  <c r="D67" i="4"/>
  <c r="D66" i="4"/>
  <c r="D63" i="4"/>
  <c r="D62" i="4"/>
  <c r="D61" i="4"/>
  <c r="D60" i="4"/>
  <c r="D59" i="4"/>
  <c r="D58" i="4"/>
  <c r="D57" i="4"/>
  <c r="D52" i="4"/>
  <c r="D51" i="4"/>
  <c r="D50" i="4"/>
  <c r="D38" i="4"/>
  <c r="D40" i="4" s="1"/>
  <c r="D37" i="4"/>
  <c r="D39" i="4" s="1"/>
  <c r="D34" i="4"/>
  <c r="D33" i="4"/>
  <c r="D32" i="4"/>
  <c r="D31" i="4"/>
  <c r="D28" i="4"/>
  <c r="D27" i="4"/>
  <c r="D26" i="4"/>
  <c r="D25" i="4"/>
  <c r="D24" i="4"/>
  <c r="D20" i="4"/>
  <c r="D19" i="4"/>
  <c r="D18" i="4"/>
  <c r="B97" i="3"/>
  <c r="B96" i="3"/>
  <c r="B95" i="3"/>
  <c r="B94" i="2"/>
  <c r="B93" i="2"/>
  <c r="B92" i="2"/>
  <c r="B124" i="1"/>
  <c r="B123" i="1"/>
  <c r="B122" i="1"/>
  <c r="B121" i="1"/>
  <c r="D76" i="3"/>
  <c r="D73" i="3"/>
  <c r="D72" i="3"/>
  <c r="D77" i="3" s="1"/>
  <c r="D48" i="3"/>
  <c r="D45" i="3"/>
  <c r="D44" i="3"/>
  <c r="D49" i="3" s="1"/>
  <c r="D19" i="3"/>
  <c r="D16" i="3"/>
  <c r="D15" i="3"/>
  <c r="D20" i="3" s="1"/>
  <c r="D74" i="2"/>
  <c r="D71" i="2"/>
  <c r="D70" i="2"/>
  <c r="D46" i="2"/>
  <c r="D43" i="2"/>
  <c r="D42" i="2"/>
  <c r="D19" i="2"/>
  <c r="D16" i="2"/>
  <c r="D15" i="2"/>
  <c r="D104" i="1"/>
  <c r="D101" i="1"/>
  <c r="D100" i="1"/>
  <c r="D105" i="1" s="1"/>
  <c r="D77" i="1"/>
  <c r="D76" i="1"/>
  <c r="D73" i="1"/>
  <c r="D72" i="1"/>
  <c r="D48" i="1"/>
  <c r="D45" i="1"/>
  <c r="D44" i="1"/>
  <c r="D49" i="1" s="1"/>
  <c r="D20" i="1"/>
  <c r="D17" i="1"/>
  <c r="D16" i="1"/>
  <c r="D110" i="4" l="1"/>
  <c r="D218" i="4"/>
  <c r="D89" i="4"/>
  <c r="D199" i="4"/>
  <c r="D21" i="4"/>
  <c r="D146" i="4"/>
  <c r="D53" i="4"/>
  <c r="D165" i="4"/>
  <c r="D54" i="4"/>
  <c r="D75" i="2"/>
  <c r="D47" i="2"/>
  <c r="D20" i="2"/>
  <c r="D21" i="1"/>
  <c r="D166" i="4" l="1"/>
  <c r="F157" i="4" l="1"/>
  <c r="F269" i="4" l="1"/>
</calcChain>
</file>

<file path=xl/sharedStrings.xml><?xml version="1.0" encoding="utf-8"?>
<sst xmlns="http://schemas.openxmlformats.org/spreadsheetml/2006/main" count="1742" uniqueCount="286">
  <si>
    <t>N°</t>
  </si>
  <si>
    <t>DÉSIGNATION</t>
  </si>
  <si>
    <t>U</t>
  </si>
  <si>
    <t>QTE</t>
  </si>
  <si>
    <t xml:space="preserve">PU </t>
  </si>
  <si>
    <t>TOTAL</t>
  </si>
  <si>
    <t>I</t>
  </si>
  <si>
    <t xml:space="preserve"> DÉPLACEMENT ET INSTALLATION</t>
  </si>
  <si>
    <t>1.1.</t>
  </si>
  <si>
    <t>Mobilisation du matériel et du personnel pour l’ensemble de travaux (travaux de forages, essai de pompage)</t>
  </si>
  <si>
    <t>FF</t>
  </si>
  <si>
    <t>1.2.</t>
  </si>
  <si>
    <t>Repli de tout le matériel (fin des travaux).</t>
  </si>
  <si>
    <t>S Total 1</t>
  </si>
  <si>
    <t>II</t>
  </si>
  <si>
    <t>FORATION</t>
  </si>
  <si>
    <t>2.1.</t>
  </si>
  <si>
    <r>
      <t xml:space="preserve">Forage de formations meubles au Rotary 9 </t>
    </r>
    <r>
      <rPr>
        <vertAlign val="superscript"/>
        <sz val="12"/>
        <color rgb="FF000000"/>
        <rFont val="Times New Roman"/>
        <family val="1"/>
      </rPr>
      <t>״7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8</t>
    </r>
    <r>
      <rPr>
        <sz val="12"/>
        <color rgb="FF000000"/>
        <rFont val="Times New Roman"/>
        <family val="1"/>
      </rPr>
      <t xml:space="preserve"> à 12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4</t>
    </r>
  </si>
  <si>
    <t>Mètre</t>
  </si>
  <si>
    <t>2.2.</t>
  </si>
  <si>
    <r>
      <t xml:space="preserve">Forage en formations cohérentes au MFT de Ø 6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 xml:space="preserve"> à 8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2</t>
    </r>
  </si>
  <si>
    <t>2.3.</t>
  </si>
  <si>
    <t>Fourniture, pose et retrait de tubage provisoire</t>
  </si>
  <si>
    <t>S Total 2</t>
  </si>
  <si>
    <t>III</t>
  </si>
  <si>
    <t>ÉQUIPEMENT DE FORAGE</t>
  </si>
  <si>
    <t>3.1.</t>
  </si>
  <si>
    <t>Fourniture et mise en place de tubes PVC Ø125-140 mm, filetés, pression d’écrasement 10 bars, qualité alimentaire, plein.</t>
  </si>
  <si>
    <t>3.2.</t>
  </si>
  <si>
    <t>Fourniture et mise en place de tubes PVC Ø125-140 mm, filetés, pression d’écrasement 10 bars, qualité alimentaire, crépine sur toute la hauteur, fente ouverte 1 mm.</t>
  </si>
  <si>
    <t>3.3.</t>
  </si>
  <si>
    <t xml:space="preserve">Fourniture et mise en place d'un bouchon de pied fileté PVC Ø125-140  </t>
  </si>
  <si>
    <t>Unité</t>
  </si>
  <si>
    <t>3.4.</t>
  </si>
  <si>
    <t>Fourniture et mise en place d'un massif de gravier siliceux calibré (2-3 mm), y compris le remplissage de l'espace annulaire, sur au moins 3 mètres, avec du sable propre ou du quellon.</t>
  </si>
  <si>
    <t>3.5.</t>
  </si>
  <si>
    <t>Comblement du forage du tout-venant y compris la fourniture et la mise en place d'un bouchon de ciment de 3 m de hauteur en tête de colonne captant.</t>
  </si>
  <si>
    <t>3.6.</t>
  </si>
  <si>
    <t>Fourniture de la fermeture de forage.</t>
  </si>
  <si>
    <t>S Total 3</t>
  </si>
  <si>
    <t>IV</t>
  </si>
  <si>
    <t>Développement–Essai Pompage-Analyse Physico chimique</t>
  </si>
  <si>
    <t>4.1.</t>
  </si>
  <si>
    <t xml:space="preserve">Développement à l'air lift  </t>
  </si>
  <si>
    <t>Heure</t>
  </si>
  <si>
    <t>4.2.</t>
  </si>
  <si>
    <t xml:space="preserve">Essai de pompage descente et remontée (Méthode classique) </t>
  </si>
  <si>
    <t>4.3.</t>
  </si>
  <si>
    <t>Essai de pompage descente et remontée longue durée (72 heures)</t>
  </si>
  <si>
    <t>4.4.</t>
  </si>
  <si>
    <t>Analyse physico-chimique bactériologique de l’eau</t>
  </si>
  <si>
    <t>S Total 4</t>
  </si>
  <si>
    <t>TOTAL GENERAL HT A</t>
  </si>
  <si>
    <t>Fourniture de la fermeture de forage en inox</t>
  </si>
  <si>
    <t>M'piabougou</t>
  </si>
  <si>
    <t>N'gabakoro</t>
  </si>
  <si>
    <t>Zana</t>
  </si>
  <si>
    <t>Diéni</t>
  </si>
  <si>
    <t>Fassoumbougou</t>
  </si>
  <si>
    <t>Tamani bassala</t>
  </si>
  <si>
    <t>Feya</t>
  </si>
  <si>
    <t>Tanabougou</t>
  </si>
  <si>
    <t>DÉSIGNATION VILLAGE</t>
  </si>
  <si>
    <t>u</t>
  </si>
  <si>
    <t>RECAPITULATIF DU LOT 3</t>
  </si>
  <si>
    <t>RECAPITULATIF DU LOT 1</t>
  </si>
  <si>
    <t>RECAPITULATIF DU LOT 2</t>
  </si>
  <si>
    <t>UNITE DE TRANSFORMATION D'ALIMENT BETAIL (UTA)</t>
  </si>
  <si>
    <t xml:space="preserve">A </t>
  </si>
  <si>
    <t xml:space="preserve">INSTALLATION ET TRAVAUX PREPARATOIRES </t>
  </si>
  <si>
    <t xml:space="preserve">  </t>
  </si>
  <si>
    <t xml:space="preserve">N°  </t>
  </si>
  <si>
    <t xml:space="preserve">DESIGNATION DES TRAVAUX </t>
  </si>
  <si>
    <t xml:space="preserve">Unités </t>
  </si>
  <si>
    <t xml:space="preserve">Quantités </t>
  </si>
  <si>
    <t xml:space="preserve">PU (F.CFA) </t>
  </si>
  <si>
    <t xml:space="preserve">Montants (F.CFA) </t>
  </si>
  <si>
    <t xml:space="preserve">I </t>
  </si>
  <si>
    <t xml:space="preserve">Amené et repli du matériel </t>
  </si>
  <si>
    <t xml:space="preserve">III </t>
  </si>
  <si>
    <t>Provisions pour mise en œuvre et suivi des mesures du PGES</t>
  </si>
  <si>
    <t xml:space="preserve">IV </t>
  </si>
  <si>
    <t>Dossiers d'exécution et plans de recollement</t>
  </si>
  <si>
    <t xml:space="preserve">TOTAL INSTALLATION ET TRAVAUX PREPARATOIRES </t>
  </si>
  <si>
    <t xml:space="preserve"> </t>
  </si>
  <si>
    <t>B</t>
  </si>
  <si>
    <t>CLÔTURES ENDURE</t>
  </si>
  <si>
    <t xml:space="preserve"> TERRASSEMENT </t>
  </si>
  <si>
    <t xml:space="preserve">1.1 </t>
  </si>
  <si>
    <t>Préparation du terrain y compris implantation</t>
  </si>
  <si>
    <t>ml</t>
  </si>
  <si>
    <t xml:space="preserve">1.2 </t>
  </si>
  <si>
    <t>Fouilles en rigole</t>
  </si>
  <si>
    <r>
      <t>m</t>
    </r>
    <r>
      <rPr>
        <vertAlign val="superscript"/>
        <sz val="12"/>
        <color rgb="FF000000"/>
        <rFont val="Times New Roman"/>
        <family val="1"/>
      </rPr>
      <t>3</t>
    </r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</si>
  <si>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</si>
  <si>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</si>
  <si>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</si>
  <si>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</si>
  <si>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</si>
  <si>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</si>
  <si>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</si>
  <si>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</si>
  <si>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</si>
  <si>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>2.2</t>
  </si>
  <si>
    <t xml:space="preserve">BA pour semelle  dosé à 350kg/m3 </t>
  </si>
  <si>
    <t>2.3</t>
  </si>
  <si>
    <t xml:space="preserve">B.A. pour Poteau en fondation dosé à 350kg/m3 </t>
  </si>
  <si>
    <t>2.4</t>
  </si>
  <si>
    <t>Maçonnerie d'agglos plein de 20 cm pour soubassement</t>
  </si>
  <si>
    <r>
      <t>m</t>
    </r>
    <r>
      <rPr>
        <vertAlign val="superscript"/>
        <sz val="12"/>
        <color rgb="FF000000"/>
        <rFont val="Times New Roman"/>
        <family val="1"/>
      </rPr>
      <t>2</t>
    </r>
  </si>
  <si>
    <t>2.5</t>
  </si>
  <si>
    <t>B.A. pour Longrine  dosé à 350kg/m3</t>
  </si>
  <si>
    <t xml:space="preserve">Sous total 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</si>
  <si>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</si>
  <si>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</si>
  <si>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</si>
  <si>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</si>
  <si>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</si>
  <si>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</si>
  <si>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</si>
  <si>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</si>
  <si>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</si>
  <si>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 xml:space="preserve">Sous total III </t>
  </si>
  <si>
    <t xml:space="preserve">VI </t>
  </si>
  <si>
    <t xml:space="preserve"> ENDUIT – PEINTURE </t>
  </si>
  <si>
    <t xml:space="preserve">6.1 </t>
  </si>
  <si>
    <t>Enduit sur mur intérieur y compris raccordement</t>
  </si>
  <si>
    <t>6.2</t>
  </si>
  <si>
    <t xml:space="preserve">Enduit sur mur extérieur y compris raccordement </t>
  </si>
  <si>
    <t>6.3</t>
  </si>
  <si>
    <t>Peinture FOM intérieure</t>
  </si>
  <si>
    <t>6.4</t>
  </si>
  <si>
    <t>Peinture FOM extérieure</t>
  </si>
  <si>
    <t xml:space="preserve">Sous total VI </t>
  </si>
  <si>
    <t xml:space="preserve">MENUISERIE </t>
  </si>
  <si>
    <t xml:space="preserve">4.1 </t>
  </si>
  <si>
    <t xml:space="preserve">F/P de portail métallique deux battants de (4,00 X 2,20) m  y compris socles et poteaux pour supports de fixation et toutes suggestions </t>
  </si>
  <si>
    <t xml:space="preserve">Sous total IV </t>
  </si>
  <si>
    <t>TOTAL CLÔTURES ENDURE</t>
  </si>
  <si>
    <t>C</t>
  </si>
  <si>
    <t>BUREAU (UTA)</t>
  </si>
  <si>
    <t xml:space="preserve">1.5 </t>
  </si>
  <si>
    <t>Remblai d'apport compacté</t>
  </si>
  <si>
    <t xml:space="preserve">2.2 </t>
  </si>
  <si>
    <t xml:space="preserve">2.3 </t>
  </si>
  <si>
    <t xml:space="preserve">2.4 </t>
  </si>
  <si>
    <t xml:space="preserve">2.5 </t>
  </si>
  <si>
    <t xml:space="preserve">2.6 </t>
  </si>
  <si>
    <t>Béton banché pour perron d'accès et rampes</t>
  </si>
  <si>
    <t xml:space="preserve">2.7 </t>
  </si>
  <si>
    <t>Béton de Forme legerement 12cm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</si>
  <si>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</si>
  <si>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</si>
  <si>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</si>
  <si>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</si>
  <si>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</si>
  <si>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COUVERTURE </t>
  </si>
  <si>
    <t xml:space="preserve">F/P de couverture en tôle bac 7,20kg y compris toutes suggestions </t>
  </si>
  <si>
    <t xml:space="preserve">4.2 </t>
  </si>
  <si>
    <t>F/P de Traverse en IPN 120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</si>
  <si>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</si>
  <si>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</si>
  <si>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</si>
  <si>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 10mm</t>
  </si>
  <si>
    <t xml:space="preserve">V </t>
  </si>
  <si>
    <t xml:space="preserve">5.1 </t>
  </si>
  <si>
    <t>F/P porte métallique persiennée de 1,50 x 2,20 y compris peinture antirouille</t>
  </si>
  <si>
    <t>F/P porte métallique persiennée de 1,20 x 2,20 y compris peinture antirouille</t>
  </si>
  <si>
    <t>5.2</t>
  </si>
  <si>
    <t>F/P fenêtre  métallique persiennée  de 1,20 x 1,20 y compris peinture antirouille</t>
  </si>
  <si>
    <t>5.3</t>
  </si>
  <si>
    <t>F/P Impose  métallique persiennée  de 1,20 x 0,40 y compris peinture antirouille</t>
  </si>
  <si>
    <t xml:space="preserve">Sous total V </t>
  </si>
  <si>
    <t xml:space="preserve">6.2 </t>
  </si>
  <si>
    <t xml:space="preserve">6.3 </t>
  </si>
  <si>
    <t>6.5</t>
  </si>
  <si>
    <t>Peinture FOM sur faux plafond</t>
  </si>
  <si>
    <t>6.6</t>
  </si>
  <si>
    <t>Revêtement du sol en gré seramique de 30x30 cm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</si>
  <si>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</si>
  <si>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</si>
  <si>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</si>
  <si>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</si>
  <si>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>Ens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</si>
  <si>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</si>
  <si>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</si>
  <si>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</si>
  <si>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</si>
  <si>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</si>
  <si>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</si>
  <si>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</si>
  <si>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</si>
  <si>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</si>
  <si>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>TOTAL BUREAU (B.I.A)</t>
  </si>
  <si>
    <t>D</t>
  </si>
  <si>
    <t>LOCAL GROUPE ELECTROGENE (UTA)</t>
  </si>
  <si>
    <t>Socle en Béton armée 12 cm dosé à 250kg/m3</t>
  </si>
  <si>
    <t xml:space="preserve">B.A. pour Socle des groupes electrogene dosé à 350kg/m3 </t>
  </si>
  <si>
    <t xml:space="preserve">F/P de couverture en tôle bac Galva 60/100ème y compris toutes suggestions </t>
  </si>
  <si>
    <t>m2</t>
  </si>
  <si>
    <t>F/P de faux plafond</t>
  </si>
  <si>
    <t>F/P porte métallique persiennée de 1,80 x 2,20 y compris peinture antirouille</t>
  </si>
  <si>
    <t>F/P fenêtre  métallique persiennée  de 1,20 x 1,40 y compris peinture antirouille</t>
  </si>
  <si>
    <t>F/P Grille  métallique  de 1,05 x 1,20 y compris peinture antirouille</t>
  </si>
  <si>
    <t xml:space="preserve">F/P de plaque solaire, ensemble gainages, câbles, filerie y compris  toutes suggestions </t>
  </si>
  <si>
    <t>TOTAL GROUPE ELECTROGENE (UTA)</t>
  </si>
  <si>
    <t>E</t>
  </si>
  <si>
    <t>USINE ET MAGASIN (UTA)</t>
  </si>
  <si>
    <t>Béton de Forme 15 cm dosé à 350kg/m3</t>
  </si>
  <si>
    <t xml:space="preserve">F/P de couverture en tôle bac 7,20 kg y compris toutes suggestions </t>
  </si>
  <si>
    <t>F/P de Ferme en cornière 60 y compris peinture antirouille</t>
  </si>
  <si>
    <t>F/P porte métallique persiennée de 3,30 x 2,20 y compris peinture antirouille</t>
  </si>
  <si>
    <t>Revêtement du sol en gré ceramique de 30x30 cm</t>
  </si>
  <si>
    <t>TOTAL USINE ET MAGASIN (UTA)</t>
  </si>
  <si>
    <t>F</t>
  </si>
  <si>
    <t xml:space="preserve">BLOCS DE 2 LATRINES           </t>
  </si>
  <si>
    <t xml:space="preserve">TERRASSEMENT </t>
  </si>
  <si>
    <t xml:space="preserve">Préparation du terrain + implantation </t>
  </si>
  <si>
    <t xml:space="preserve">Fouilles en rigoles sur terrain dur </t>
  </si>
  <si>
    <t xml:space="preserve">Fouilles en masse en terrain dur </t>
  </si>
  <si>
    <t xml:space="preserve">BÉTON-MAÇONNERIE EN FONDATION </t>
  </si>
  <si>
    <t>Béton de propreté épaisseur 10 cm dosé à 150 kg/m3</t>
  </si>
  <si>
    <t>Blocage et soubassement en agglos pleins de 15 cm</t>
  </si>
  <si>
    <t>Béton banché dosé a 250  kg/m3 (espace entre muret et latrines)</t>
  </si>
  <si>
    <t>Béton legerement armée pour radier fosse ep : 10 cm</t>
  </si>
  <si>
    <t>Maçonnerie d'agglos pleins de 15 (parois fosse)</t>
  </si>
  <si>
    <t>B.A dosé a 350kg/m3 pour poteaux, linteaux et chainages poutres</t>
  </si>
  <si>
    <t xml:space="preserve">2.8 </t>
  </si>
  <si>
    <t xml:space="preserve">B.A dalle pleine ep : 0,15 de surface </t>
  </si>
  <si>
    <t xml:space="preserve">BÉTON-MAÇONNERIE EN ELEVATION </t>
  </si>
  <si>
    <t xml:space="preserve">B.A dosé a 350kg/m3 pour poteaux, linteaux et chainages </t>
  </si>
  <si>
    <t xml:space="preserve">3.2 </t>
  </si>
  <si>
    <t xml:space="preserve">Maçonnerie d' agglos creux de 15 cm </t>
  </si>
  <si>
    <t xml:space="preserve">3.3 </t>
  </si>
  <si>
    <t>Maçonnerie de claustras</t>
  </si>
  <si>
    <t xml:space="preserve">3.4 </t>
  </si>
  <si>
    <t>F/P de PVC diamètre 63, grillagée à l'extrémité (aération fosse), posé à l'intérieur de la latrine</t>
  </si>
  <si>
    <t>Sous total III</t>
  </si>
  <si>
    <t>4.1</t>
  </si>
  <si>
    <t>F/P de Traverse en IPN 80 y compris peinture antirouille</t>
  </si>
  <si>
    <t>4.2</t>
  </si>
  <si>
    <t>F/P panne de cornière L40x40x4mm y compris peinture antirouille</t>
  </si>
  <si>
    <t>4.3</t>
  </si>
  <si>
    <t>F/P de Tôle bac acier de 45/100 ème</t>
  </si>
  <si>
    <t xml:space="preserve">MENUISERIES </t>
  </si>
  <si>
    <t xml:space="preserve">F/P de portes métallique persiennée avec aération de 0,70x2,00 </t>
  </si>
  <si>
    <t xml:space="preserve"> ENDUITS ET TUYAUTERIE </t>
  </si>
  <si>
    <t>Enduits intérieur et extérieur au mortier de ciment</t>
  </si>
  <si>
    <t xml:space="preserve">Peinture FOM sur enduit intérieur et extérieur </t>
  </si>
  <si>
    <t xml:space="preserve">TOTAL BLOCS DE 2 LATRINES </t>
  </si>
  <si>
    <t>G</t>
  </si>
  <si>
    <t>EQUIPEMENT DE L'UNITE DE TRANSFORMATION</t>
  </si>
  <si>
    <t>Broyeur de sous produit agricole 5.5 Kw</t>
  </si>
  <si>
    <t>Nbre</t>
  </si>
  <si>
    <t>Melangeur d'aliment 7.5 Kw</t>
  </si>
  <si>
    <t>Machine à granulation 22 Kw</t>
  </si>
  <si>
    <t>Groupe électrogène 50 Kva</t>
  </si>
  <si>
    <t>TOTAL Equipement de l'unité de transformation</t>
  </si>
  <si>
    <t xml:space="preserve">TOTAL HT(A+B+C+D+E+F+G) </t>
  </si>
  <si>
    <t xml:space="preserve">RECAPITULATIF </t>
  </si>
  <si>
    <t xml:space="preserve">DESIGNATION </t>
  </si>
  <si>
    <t xml:space="preserve">MONTANT </t>
  </si>
  <si>
    <t>A</t>
  </si>
  <si>
    <t>INSTALLATION ET TRAVAUX PREPARATOIRES</t>
  </si>
  <si>
    <t>BLOCS DE 2 LATRINES</t>
  </si>
  <si>
    <t>LOT1</t>
  </si>
  <si>
    <t>COMMUNE DE SIRAKOROLA</t>
  </si>
  <si>
    <t>Village de Dogoni</t>
  </si>
  <si>
    <t>COMMUNE DE KOULA</t>
  </si>
  <si>
    <t>LOT3</t>
  </si>
  <si>
    <t>COMMUNE DE MEGUETAN</t>
  </si>
  <si>
    <t>LOT2</t>
  </si>
  <si>
    <t>Village de Dibaro</t>
  </si>
  <si>
    <t>DEVIS BOUTIQUE D'INTRANTS AGRICOLES (BIA)</t>
  </si>
  <si>
    <t>BOUTIQUE D'INTRANTS AGRICOLES (BIA)</t>
  </si>
  <si>
    <t>TOTAL (B.I.A)</t>
  </si>
  <si>
    <t xml:space="preserve">TOTAL HT(A+B) </t>
  </si>
  <si>
    <t xml:space="preserve">TOTAL GENERAL </t>
  </si>
  <si>
    <t>LOT4</t>
  </si>
  <si>
    <t>COMMUNE DE DOUMBA</t>
  </si>
  <si>
    <t>Village de Kossaba</t>
  </si>
  <si>
    <t>TRAVAUX DE REALISATION  DES FORAGES  DANS LA COMMUNE DE  SIRAKOROLA.</t>
  </si>
  <si>
    <t>TRAVAUX DE REALISATION  DES FORAGES  DANS LA COMMUNE DE  KOULA.</t>
  </si>
  <si>
    <t>TRAVAUX DE REALISATION DE REALISATION  DES FORAGES  DANS LA COMMUNE DE  MEGUETAN.</t>
  </si>
  <si>
    <t>TRAVAUX DE REALISATION  D'UNITE DE TRANSFORMATION D'ALIMENT BETAIL ET DE BOUTIQUE D'INTRANT AGRICOLE  DANS LA COMMUNE DE  DOUMBA.</t>
  </si>
  <si>
    <t xml:space="preserve">Mobilisation du matériel et du personnel pour l’ensemble de travaux  (travaux de forages, essai de pompage) y compris études geophysique pour l'implantation des sites potentiels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</si>
</sst>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#,##0.000"/>
    <numFmt numFmtId="166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4" fillId="6" borderId="6" xfId="0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7" xfId="0" applyBorder="1"/>
    <xf numFmtId="0" fontId="4" fillId="10" borderId="14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center" vertical="center" wrapText="1"/>
    </xf>
    <xf numFmtId="165" fontId="4" fillId="10" borderId="9" xfId="0" applyNumberFormat="1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6" fontId="5" fillId="0" borderId="9" xfId="1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center" vertical="center" wrapText="1"/>
    </xf>
    <xf numFmtId="165" fontId="5" fillId="11" borderId="9" xfId="0" applyNumberFormat="1" applyFont="1" applyFill="1" applyBorder="1" applyAlignment="1">
      <alignment horizontal="center" vertical="center" wrapText="1"/>
    </xf>
    <xf numFmtId="166" fontId="4" fillId="11" borderId="15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left" vertical="center" wrapText="1"/>
    </xf>
    <xf numFmtId="0" fontId="5" fillId="12" borderId="17" xfId="0" applyFont="1" applyFill="1" applyBorder="1" applyAlignment="1">
      <alignment horizontal="center" vertical="center" wrapText="1"/>
    </xf>
    <xf numFmtId="165" fontId="5" fillId="12" borderId="17" xfId="0" applyNumberFormat="1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left" vertical="center" wrapText="1"/>
    </xf>
    <xf numFmtId="0" fontId="5" fillId="12" borderId="9" xfId="0" applyFont="1" applyFill="1" applyBorder="1" applyAlignment="1">
      <alignment horizontal="center" vertical="center" wrapText="1"/>
    </xf>
    <xf numFmtId="4" fontId="5" fillId="12" borderId="9" xfId="0" applyNumberFormat="1" applyFont="1" applyFill="1" applyBorder="1" applyAlignment="1">
      <alignment horizontal="center" vertical="center" wrapText="1"/>
    </xf>
    <xf numFmtId="166" fontId="5" fillId="12" borderId="9" xfId="1" applyNumberFormat="1" applyFont="1" applyFill="1" applyBorder="1" applyAlignment="1">
      <alignment horizontal="center" vertical="center" wrapText="1"/>
    </xf>
    <xf numFmtId="166" fontId="5" fillId="12" borderId="15" xfId="0" applyNumberFormat="1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center" vertical="center" wrapText="1"/>
    </xf>
    <xf numFmtId="165" fontId="4" fillId="12" borderId="9" xfId="0" applyNumberFormat="1" applyFont="1" applyFill="1" applyBorder="1" applyAlignment="1">
      <alignment horizontal="center" vertical="center" wrapText="1"/>
    </xf>
    <xf numFmtId="166" fontId="4" fillId="12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166" fontId="1" fillId="0" borderId="7" xfId="0" applyNumberFormat="1" applyFont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left" vertical="center" wrapText="1"/>
    </xf>
    <xf numFmtId="0" fontId="4" fillId="13" borderId="9" xfId="0" applyFont="1" applyFill="1" applyBorder="1" applyAlignment="1">
      <alignment horizontal="center" vertical="center" wrapText="1"/>
    </xf>
    <xf numFmtId="165" fontId="4" fillId="13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166" fontId="4" fillId="13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0" borderId="17" xfId="0" applyBorder="1"/>
    <xf numFmtId="165" fontId="0" fillId="0" borderId="17" xfId="0" applyNumberFormat="1" applyBorder="1"/>
    <xf numFmtId="0" fontId="0" fillId="0" borderId="18" xfId="0" applyBorder="1"/>
    <xf numFmtId="0" fontId="5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166" fontId="5" fillId="0" borderId="22" xfId="0" applyNumberFormat="1" applyFont="1" applyBorder="1" applyAlignment="1">
      <alignment horizontal="left" vertical="center" wrapText="1"/>
    </xf>
    <xf numFmtId="0" fontId="0" fillId="13" borderId="1" xfId="0" applyFill="1" applyBorder="1"/>
    <xf numFmtId="0" fontId="0" fillId="13" borderId="2" xfId="0" applyFill="1" applyBorder="1" applyAlignment="1">
      <alignment horizontal="left" vertical="center" wrapText="1"/>
    </xf>
    <xf numFmtId="0" fontId="0" fillId="13" borderId="2" xfId="0" applyFill="1" applyBorder="1"/>
    <xf numFmtId="165" fontId="0" fillId="13" borderId="2" xfId="0" applyNumberFormat="1" applyFill="1" applyBorder="1"/>
    <xf numFmtId="166" fontId="1" fillId="13" borderId="3" xfId="0" applyNumberFormat="1" applyFont="1" applyFill="1" applyBorder="1"/>
    <xf numFmtId="0" fontId="0" fillId="0" borderId="0" xfId="0" applyAlignment="1">
      <alignment wrapText="1"/>
    </xf>
    <xf numFmtId="0" fontId="4" fillId="11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165" fontId="4" fillId="11" borderId="9" xfId="0" applyNumberFormat="1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left" vertical="center" wrapText="1"/>
    </xf>
    <xf numFmtId="0" fontId="4" fillId="11" borderId="24" xfId="0" applyFont="1" applyFill="1" applyBorder="1" applyAlignment="1">
      <alignment horizontal="center" vertical="center" wrapText="1"/>
    </xf>
    <xf numFmtId="165" fontId="4" fillId="11" borderId="24" xfId="0" applyNumberFormat="1" applyFont="1" applyFill="1" applyBorder="1" applyAlignment="1">
      <alignment horizontal="center" vertical="center" wrapText="1"/>
    </xf>
    <xf numFmtId="166" fontId="4" fillId="11" borderId="25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4" fillId="14" borderId="16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9936-7965-4926-99ED-7E2BE200809F}">
  <dimension ref="A1:F124"/>
  <sheetViews>
    <sheetView topLeftCell="A117" workbookViewId="0">
      <selection activeCell="A115" sqref="A115"/>
    </sheetView>
  </sheetViews>
  <sheetFormatPr baseColWidth="10" defaultRowHeight="14.5" x14ac:dyDescent="0.35"/>
  <cols>
    <col min="2" max="2" width="51.81640625" customWidth="1"/>
  </cols>
  <sheetData>
    <row r="1" spans="1:6" ht="71.400000000000006" customHeight="1" thickBot="1" x14ac:dyDescent="0.4">
      <c r="A1" s="147" t="s">
        <v>281</v>
      </c>
      <c r="B1" s="148"/>
      <c r="C1" s="148"/>
      <c r="D1" s="148"/>
      <c r="E1" s="148"/>
      <c r="F1" s="149"/>
    </row>
    <row r="2" spans="1:6" ht="15.5" thickBot="1" x14ac:dyDescent="0.4">
      <c r="A2" s="150"/>
      <c r="B2" s="151"/>
      <c r="C2" s="151"/>
      <c r="D2" s="151"/>
      <c r="E2" s="151"/>
      <c r="F2" s="152"/>
    </row>
    <row r="3" spans="1:6" ht="16" thickBot="1" x14ac:dyDescent="0.4">
      <c r="A3" s="153" t="s">
        <v>265</v>
      </c>
      <c r="B3" s="154"/>
      <c r="C3" s="154"/>
      <c r="D3" s="154"/>
      <c r="E3" s="154"/>
      <c r="F3" s="155"/>
    </row>
    <row r="4" spans="1:6" ht="15.5" thickBot="1" x14ac:dyDescent="0.4">
      <c r="A4" s="150"/>
      <c r="B4" s="151"/>
      <c r="C4" s="151"/>
      <c r="D4" s="151"/>
      <c r="E4" s="151"/>
      <c r="F4" s="152"/>
    </row>
    <row r="5" spans="1:6" ht="16" thickBot="1" x14ac:dyDescent="0.4">
      <c r="A5" s="153" t="s">
        <v>266</v>
      </c>
      <c r="B5" s="154"/>
      <c r="C5" s="154"/>
      <c r="D5" s="154"/>
      <c r="E5" s="154"/>
      <c r="F5" s="155"/>
    </row>
    <row r="6" spans="1:6" ht="15" thickBot="1" x14ac:dyDescent="0.4"/>
    <row r="7" spans="1:6" ht="16" thickBot="1" x14ac:dyDescent="0.4">
      <c r="A7" s="156" t="s">
        <v>267</v>
      </c>
      <c r="B7" s="157"/>
      <c r="C7" s="157"/>
      <c r="D7" s="157"/>
      <c r="E7" s="157"/>
      <c r="F7" s="158"/>
    </row>
    <row r="8" spans="1:6" ht="15.5" thickBot="1" x14ac:dyDescent="0.4">
      <c r="A8" s="150"/>
      <c r="B8" s="151"/>
      <c r="C8" s="151"/>
      <c r="D8" s="151"/>
      <c r="E8" s="151"/>
      <c r="F8" s="152"/>
    </row>
    <row r="9" spans="1:6" ht="15.5" thickBot="1" x14ac:dyDescent="0.4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3" t="s">
        <v>5</v>
      </c>
    </row>
    <row r="10" spans="1:6" ht="16" thickBot="1" x14ac:dyDescent="0.4">
      <c r="A10" s="4" t="s">
        <v>6</v>
      </c>
      <c r="B10" s="5" t="s">
        <v>7</v>
      </c>
      <c r="C10" s="6"/>
      <c r="D10" s="6"/>
      <c r="E10" s="6"/>
      <c r="F10" s="7"/>
    </row>
    <row r="11" spans="1:6" ht="31.5" thickBot="1" x14ac:dyDescent="0.4">
      <c r="A11" s="8" t="s">
        <v>8</v>
      </c>
      <c r="B11" s="27" t="s">
        <v>9</v>
      </c>
      <c r="C11" s="10" t="s">
        <v>10</v>
      </c>
      <c r="D11" s="11">
        <v>1</v>
      </c>
      <c r="E11" s="12"/>
      <c r="F11" s="13"/>
    </row>
    <row r="12" spans="1:6" ht="16" thickBot="1" x14ac:dyDescent="0.4">
      <c r="A12" s="8" t="s">
        <v>11</v>
      </c>
      <c r="B12" s="27" t="s">
        <v>12</v>
      </c>
      <c r="C12" s="10" t="s">
        <v>10</v>
      </c>
      <c r="D12" s="10">
        <v>1</v>
      </c>
      <c r="E12" s="12"/>
      <c r="F12" s="13"/>
    </row>
    <row r="13" spans="1:6" ht="16" thickBot="1" x14ac:dyDescent="0.4">
      <c r="A13" s="159" t="s">
        <v>13</v>
      </c>
      <c r="B13" s="160"/>
      <c r="C13" s="14"/>
      <c r="D13" s="14"/>
      <c r="E13" s="15"/>
      <c r="F13" s="16"/>
    </row>
    <row r="14" spans="1:6" ht="16" thickBot="1" x14ac:dyDescent="0.4">
      <c r="A14" s="4" t="s">
        <v>14</v>
      </c>
      <c r="B14" s="5" t="s">
        <v>15</v>
      </c>
      <c r="C14" s="6"/>
      <c r="D14" s="6"/>
      <c r="E14" s="17"/>
      <c r="F14" s="18"/>
    </row>
    <row r="15" spans="1:6" ht="20" thickBot="1" x14ac:dyDescent="0.4">
      <c r="A15" s="8" t="s">
        <v>16</v>
      </c>
      <c r="B15" s="27" t="s">
        <v>17</v>
      </c>
      <c r="C15" s="10" t="s">
        <v>18</v>
      </c>
      <c r="D15" s="10">
        <v>48</v>
      </c>
      <c r="E15" s="12"/>
      <c r="F15" s="13"/>
    </row>
    <row r="16" spans="1:6" ht="39.5" thickBot="1" x14ac:dyDescent="0.4">
      <c r="A16" s="8" t="s">
        <v>19</v>
      </c>
      <c r="B16" s="27" t="s">
        <v>20</v>
      </c>
      <c r="C16" s="10" t="s">
        <v>18</v>
      </c>
      <c r="D16" s="10">
        <f>150-D15</f>
        <v>102</v>
      </c>
      <c r="E16" s="12"/>
      <c r="F16" s="13"/>
    </row>
    <row r="17" spans="1:6" ht="16" thickBot="1" x14ac:dyDescent="0.4">
      <c r="A17" s="8" t="s">
        <v>21</v>
      </c>
      <c r="B17" s="27" t="s">
        <v>22</v>
      </c>
      <c r="C17" s="10" t="s">
        <v>18</v>
      </c>
      <c r="D17" s="10">
        <f>+D15</f>
        <v>48</v>
      </c>
      <c r="E17" s="12"/>
      <c r="F17" s="13"/>
    </row>
    <row r="18" spans="1:6" ht="16" thickBot="1" x14ac:dyDescent="0.4">
      <c r="A18" s="159" t="s">
        <v>23</v>
      </c>
      <c r="B18" s="160"/>
      <c r="C18" s="14"/>
      <c r="D18" s="14"/>
      <c r="E18" s="15"/>
      <c r="F18" s="16"/>
    </row>
    <row r="19" spans="1:6" ht="16" thickBot="1" x14ac:dyDescent="0.4">
      <c r="A19" s="4" t="s">
        <v>24</v>
      </c>
      <c r="B19" s="5" t="s">
        <v>25</v>
      </c>
      <c r="C19" s="6"/>
      <c r="D19" s="19"/>
      <c r="E19" s="17"/>
      <c r="F19" s="18"/>
    </row>
    <row r="20" spans="1:6" ht="47" thickBot="1" x14ac:dyDescent="0.4">
      <c r="A20" s="8" t="s">
        <v>26</v>
      </c>
      <c r="B20" s="27" t="s">
        <v>27</v>
      </c>
      <c r="C20" s="10" t="s">
        <v>18</v>
      </c>
      <c r="D20" s="10">
        <f>+D15</f>
        <v>48</v>
      </c>
      <c r="E20" s="12"/>
      <c r="F20" s="13"/>
    </row>
    <row r="21" spans="1:6" ht="62.5" thickBot="1" x14ac:dyDescent="0.4">
      <c r="A21" s="8" t="s">
        <v>28</v>
      </c>
      <c r="B21" s="38" t="s">
        <v>29</v>
      </c>
      <c r="C21" s="21" t="s">
        <v>18</v>
      </c>
      <c r="D21" s="21">
        <f>+D16</f>
        <v>102</v>
      </c>
      <c r="E21" s="22"/>
      <c r="F21" s="13"/>
    </row>
    <row r="22" spans="1:6" ht="31.5" thickBot="1" x14ac:dyDescent="0.4">
      <c r="A22" s="8" t="s">
        <v>30</v>
      </c>
      <c r="B22" s="39" t="s">
        <v>31</v>
      </c>
      <c r="C22" s="24" t="s">
        <v>32</v>
      </c>
      <c r="D22" s="24">
        <v>1</v>
      </c>
      <c r="E22" s="25"/>
      <c r="F22" s="13"/>
    </row>
    <row r="23" spans="1:6" ht="62.5" thickBot="1" x14ac:dyDescent="0.4">
      <c r="A23" s="8" t="s">
        <v>33</v>
      </c>
      <c r="B23" s="27" t="s">
        <v>34</v>
      </c>
      <c r="C23" s="10" t="s">
        <v>32</v>
      </c>
      <c r="D23" s="10">
        <v>1</v>
      </c>
      <c r="E23" s="12"/>
      <c r="F23" s="13"/>
    </row>
    <row r="24" spans="1:6" ht="47" thickBot="1" x14ac:dyDescent="0.4">
      <c r="A24" s="8" t="s">
        <v>35</v>
      </c>
      <c r="B24" s="27" t="s">
        <v>36</v>
      </c>
      <c r="C24" s="10" t="s">
        <v>32</v>
      </c>
      <c r="D24" s="26">
        <v>1</v>
      </c>
      <c r="E24" s="12"/>
      <c r="F24" s="13"/>
    </row>
    <row r="25" spans="1:6" ht="16" thickBot="1" x14ac:dyDescent="0.4">
      <c r="A25" s="8" t="s">
        <v>37</v>
      </c>
      <c r="B25" s="27" t="s">
        <v>53</v>
      </c>
      <c r="C25" s="10" t="s">
        <v>32</v>
      </c>
      <c r="D25" s="26">
        <v>1</v>
      </c>
      <c r="E25" s="12"/>
      <c r="F25" s="13"/>
    </row>
    <row r="26" spans="1:6" ht="15.5" thickBot="1" x14ac:dyDescent="0.4">
      <c r="A26" s="159" t="s">
        <v>39</v>
      </c>
      <c r="B26" s="160"/>
      <c r="C26" s="28"/>
      <c r="D26" s="28"/>
      <c r="E26" s="29"/>
      <c r="F26" s="16"/>
    </row>
    <row r="27" spans="1:6" ht="31.5" thickBot="1" x14ac:dyDescent="0.4">
      <c r="A27" s="4" t="s">
        <v>40</v>
      </c>
      <c r="B27" s="5" t="s">
        <v>41</v>
      </c>
      <c r="C27" s="6"/>
      <c r="D27" s="6"/>
      <c r="E27" s="17"/>
      <c r="F27" s="17"/>
    </row>
    <row r="28" spans="1:6" ht="16" thickBot="1" x14ac:dyDescent="0.4">
      <c r="A28" s="8" t="s">
        <v>42</v>
      </c>
      <c r="B28" s="27" t="s">
        <v>43</v>
      </c>
      <c r="C28" s="10" t="s">
        <v>44</v>
      </c>
      <c r="D28" s="26">
        <v>4</v>
      </c>
      <c r="E28" s="12"/>
      <c r="F28" s="30"/>
    </row>
    <row r="29" spans="1:6" ht="31.5" thickBot="1" x14ac:dyDescent="0.4">
      <c r="A29" s="8" t="s">
        <v>45</v>
      </c>
      <c r="B29" s="27" t="s">
        <v>46</v>
      </c>
      <c r="C29" s="10" t="s">
        <v>32</v>
      </c>
      <c r="D29" s="26">
        <v>1</v>
      </c>
      <c r="E29" s="12"/>
      <c r="F29" s="30"/>
    </row>
    <row r="30" spans="1:6" ht="16" thickBot="1" x14ac:dyDescent="0.4">
      <c r="A30" s="8" t="s">
        <v>47</v>
      </c>
      <c r="B30" s="27" t="s">
        <v>50</v>
      </c>
      <c r="C30" s="10" t="s">
        <v>32</v>
      </c>
      <c r="D30" s="26">
        <v>1</v>
      </c>
      <c r="E30" s="12"/>
      <c r="F30" s="30"/>
    </row>
    <row r="31" spans="1:6" ht="15.5" thickBot="1" x14ac:dyDescent="0.4">
      <c r="A31" s="31"/>
      <c r="B31" s="28" t="s">
        <v>51</v>
      </c>
      <c r="C31" s="28"/>
      <c r="D31" s="28"/>
      <c r="E31" s="33"/>
      <c r="F31" s="16"/>
    </row>
    <row r="32" spans="1:6" ht="15.5" thickBot="1" x14ac:dyDescent="0.4">
      <c r="A32" s="145" t="s">
        <v>52</v>
      </c>
      <c r="B32" s="146"/>
      <c r="C32" s="34"/>
      <c r="D32" s="34"/>
      <c r="E32" s="35"/>
      <c r="F32" s="36"/>
    </row>
    <row r="34" spans="1:6" ht="15" thickBot="1" x14ac:dyDescent="0.4"/>
    <row r="35" spans="1:6" ht="16" thickBot="1" x14ac:dyDescent="0.4">
      <c r="A35" s="156" t="s">
        <v>54</v>
      </c>
      <c r="B35" s="157"/>
      <c r="C35" s="157"/>
      <c r="D35" s="157"/>
      <c r="E35" s="157"/>
      <c r="F35" s="158"/>
    </row>
    <row r="36" spans="1:6" ht="15.5" thickBot="1" x14ac:dyDescent="0.4">
      <c r="A36" s="150"/>
      <c r="B36" s="151"/>
      <c r="C36" s="151"/>
      <c r="D36" s="151"/>
      <c r="E36" s="151"/>
      <c r="F36" s="152"/>
    </row>
    <row r="37" spans="1:6" ht="15.5" thickBot="1" x14ac:dyDescent="0.4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3" t="s">
        <v>5</v>
      </c>
    </row>
    <row r="38" spans="1:6" ht="16" thickBot="1" x14ac:dyDescent="0.4">
      <c r="A38" s="4" t="s">
        <v>6</v>
      </c>
      <c r="B38" s="5" t="s">
        <v>7</v>
      </c>
      <c r="C38" s="6"/>
      <c r="D38" s="6"/>
      <c r="E38" s="6"/>
      <c r="F38" s="7"/>
    </row>
    <row r="39" spans="1:6" ht="31.5" thickBot="1" x14ac:dyDescent="0.4">
      <c r="A39" s="8" t="s">
        <v>8</v>
      </c>
      <c r="B39" s="9" t="s">
        <v>9</v>
      </c>
      <c r="C39" s="10" t="s">
        <v>10</v>
      </c>
      <c r="D39" s="11">
        <v>1</v>
      </c>
      <c r="E39" s="12"/>
      <c r="F39" s="13"/>
    </row>
    <row r="40" spans="1:6" ht="16" thickBot="1" x14ac:dyDescent="0.4">
      <c r="A40" s="8" t="s">
        <v>11</v>
      </c>
      <c r="B40" s="9" t="s">
        <v>12</v>
      </c>
      <c r="C40" s="10" t="s">
        <v>10</v>
      </c>
      <c r="D40" s="10">
        <v>1</v>
      </c>
      <c r="E40" s="12"/>
      <c r="F40" s="13"/>
    </row>
    <row r="41" spans="1:6" ht="16" thickBot="1" x14ac:dyDescent="0.4">
      <c r="A41" s="159" t="s">
        <v>13</v>
      </c>
      <c r="B41" s="160"/>
      <c r="C41" s="14"/>
      <c r="D41" s="14"/>
      <c r="E41" s="15"/>
      <c r="F41" s="16"/>
    </row>
    <row r="42" spans="1:6" ht="16" thickBot="1" x14ac:dyDescent="0.4">
      <c r="A42" s="4" t="s">
        <v>14</v>
      </c>
      <c r="B42" s="5" t="s">
        <v>15</v>
      </c>
      <c r="C42" s="6"/>
      <c r="D42" s="6"/>
      <c r="E42" s="17"/>
      <c r="F42" s="18"/>
    </row>
    <row r="43" spans="1:6" ht="20" thickBot="1" x14ac:dyDescent="0.4">
      <c r="A43" s="8" t="s">
        <v>16</v>
      </c>
      <c r="B43" s="9" t="s">
        <v>17</v>
      </c>
      <c r="C43" s="10" t="s">
        <v>18</v>
      </c>
      <c r="D43" s="10">
        <v>36</v>
      </c>
      <c r="E43" s="12"/>
      <c r="F43" s="13"/>
    </row>
    <row r="44" spans="1:6" ht="39.5" thickBot="1" x14ac:dyDescent="0.4">
      <c r="A44" s="8" t="s">
        <v>19</v>
      </c>
      <c r="B44" s="9" t="s">
        <v>20</v>
      </c>
      <c r="C44" s="10" t="s">
        <v>18</v>
      </c>
      <c r="D44" s="10">
        <f>150-D43</f>
        <v>114</v>
      </c>
      <c r="E44" s="12"/>
      <c r="F44" s="13"/>
    </row>
    <row r="45" spans="1:6" ht="16" thickBot="1" x14ac:dyDescent="0.4">
      <c r="A45" s="8" t="s">
        <v>21</v>
      </c>
      <c r="B45" s="9" t="s">
        <v>22</v>
      </c>
      <c r="C45" s="10" t="s">
        <v>18</v>
      </c>
      <c r="D45" s="10">
        <f>+D43</f>
        <v>36</v>
      </c>
      <c r="E45" s="12"/>
      <c r="F45" s="13"/>
    </row>
    <row r="46" spans="1:6" ht="16" thickBot="1" x14ac:dyDescent="0.4">
      <c r="A46" s="159" t="s">
        <v>23</v>
      </c>
      <c r="B46" s="160"/>
      <c r="C46" s="14"/>
      <c r="D46" s="14"/>
      <c r="E46" s="15"/>
      <c r="F46" s="16"/>
    </row>
    <row r="47" spans="1:6" ht="16" thickBot="1" x14ac:dyDescent="0.4">
      <c r="A47" s="4" t="s">
        <v>24</v>
      </c>
      <c r="B47" s="5" t="s">
        <v>25</v>
      </c>
      <c r="C47" s="6"/>
      <c r="D47" s="19"/>
      <c r="E47" s="17"/>
      <c r="F47" s="18"/>
    </row>
    <row r="48" spans="1:6" ht="47" thickBot="1" x14ac:dyDescent="0.4">
      <c r="A48" s="8" t="s">
        <v>26</v>
      </c>
      <c r="B48" s="9" t="s">
        <v>27</v>
      </c>
      <c r="C48" s="10" t="s">
        <v>18</v>
      </c>
      <c r="D48" s="10">
        <f>+D43</f>
        <v>36</v>
      </c>
      <c r="E48" s="12"/>
      <c r="F48" s="13"/>
    </row>
    <row r="49" spans="1:6" ht="62.5" thickBot="1" x14ac:dyDescent="0.4">
      <c r="A49" s="8" t="s">
        <v>28</v>
      </c>
      <c r="B49" s="20" t="s">
        <v>29</v>
      </c>
      <c r="C49" s="21" t="s">
        <v>18</v>
      </c>
      <c r="D49" s="21">
        <f>+D44</f>
        <v>114</v>
      </c>
      <c r="E49" s="22"/>
      <c r="F49" s="13"/>
    </row>
    <row r="50" spans="1:6" ht="31.5" thickBot="1" x14ac:dyDescent="0.4">
      <c r="A50" s="8" t="s">
        <v>30</v>
      </c>
      <c r="B50" s="23" t="s">
        <v>31</v>
      </c>
      <c r="C50" s="24" t="s">
        <v>32</v>
      </c>
      <c r="D50" s="24">
        <v>1</v>
      </c>
      <c r="E50" s="25"/>
      <c r="F50" s="13"/>
    </row>
    <row r="51" spans="1:6" ht="62.5" thickBot="1" x14ac:dyDescent="0.4">
      <c r="A51" s="8" t="s">
        <v>33</v>
      </c>
      <c r="B51" s="9" t="s">
        <v>34</v>
      </c>
      <c r="C51" s="10" t="s">
        <v>32</v>
      </c>
      <c r="D51" s="10">
        <v>1</v>
      </c>
      <c r="E51" s="12"/>
      <c r="F51" s="13"/>
    </row>
    <row r="52" spans="1:6" ht="47" thickBot="1" x14ac:dyDescent="0.4">
      <c r="A52" s="8" t="s">
        <v>35</v>
      </c>
      <c r="B52" s="9" t="s">
        <v>36</v>
      </c>
      <c r="C52" s="10" t="s">
        <v>32</v>
      </c>
      <c r="D52" s="26">
        <v>1</v>
      </c>
      <c r="E52" s="12"/>
      <c r="F52" s="13"/>
    </row>
    <row r="53" spans="1:6" ht="16" thickBot="1" x14ac:dyDescent="0.4">
      <c r="A53" s="8" t="s">
        <v>37</v>
      </c>
      <c r="B53" s="27" t="s">
        <v>53</v>
      </c>
      <c r="C53" s="10" t="s">
        <v>32</v>
      </c>
      <c r="D53" s="26">
        <v>1</v>
      </c>
      <c r="E53" s="12"/>
      <c r="F53" s="13"/>
    </row>
    <row r="54" spans="1:6" ht="15.5" thickBot="1" x14ac:dyDescent="0.4">
      <c r="A54" s="159" t="s">
        <v>39</v>
      </c>
      <c r="B54" s="160"/>
      <c r="C54" s="28"/>
      <c r="D54" s="28"/>
      <c r="E54" s="29"/>
      <c r="F54" s="16"/>
    </row>
    <row r="55" spans="1:6" ht="31.5" thickBot="1" x14ac:dyDescent="0.4">
      <c r="A55" s="4" t="s">
        <v>40</v>
      </c>
      <c r="B55" s="5" t="s">
        <v>41</v>
      </c>
      <c r="C55" s="6"/>
      <c r="D55" s="6"/>
      <c r="E55" s="17"/>
      <c r="F55" s="17"/>
    </row>
    <row r="56" spans="1:6" ht="16" thickBot="1" x14ac:dyDescent="0.4">
      <c r="A56" s="8" t="s">
        <v>42</v>
      </c>
      <c r="B56" s="9" t="s">
        <v>43</v>
      </c>
      <c r="C56" s="10" t="s">
        <v>44</v>
      </c>
      <c r="D56" s="26">
        <v>4</v>
      </c>
      <c r="E56" s="12"/>
      <c r="F56" s="30"/>
    </row>
    <row r="57" spans="1:6" ht="31.5" thickBot="1" x14ac:dyDescent="0.4">
      <c r="A57" s="8" t="s">
        <v>45</v>
      </c>
      <c r="B57" s="9" t="s">
        <v>46</v>
      </c>
      <c r="C57" s="10" t="s">
        <v>32</v>
      </c>
      <c r="D57" s="26">
        <v>1</v>
      </c>
      <c r="E57" s="12"/>
      <c r="F57" s="30"/>
    </row>
    <row r="58" spans="1:6" ht="16" thickBot="1" x14ac:dyDescent="0.4">
      <c r="A58" s="8" t="s">
        <v>47</v>
      </c>
      <c r="B58" s="9" t="s">
        <v>50</v>
      </c>
      <c r="C58" s="10" t="s">
        <v>32</v>
      </c>
      <c r="D58" s="26">
        <v>1</v>
      </c>
      <c r="E58" s="12"/>
      <c r="F58" s="30"/>
    </row>
    <row r="59" spans="1:6" ht="15.5" thickBot="1" x14ac:dyDescent="0.4">
      <c r="A59" s="31"/>
      <c r="B59" s="32" t="s">
        <v>51</v>
      </c>
      <c r="C59" s="28"/>
      <c r="D59" s="28"/>
      <c r="E59" s="33"/>
      <c r="F59" s="16"/>
    </row>
    <row r="60" spans="1:6" ht="15.5" thickBot="1" x14ac:dyDescent="0.4">
      <c r="A60" s="145" t="s">
        <v>52</v>
      </c>
      <c r="B60" s="146"/>
      <c r="C60" s="34"/>
      <c r="D60" s="34"/>
      <c r="E60" s="35"/>
      <c r="F60" s="36"/>
    </row>
    <row r="62" spans="1:6" ht="15" thickBot="1" x14ac:dyDescent="0.4"/>
    <row r="63" spans="1:6" ht="16" thickBot="1" x14ac:dyDescent="0.4">
      <c r="A63" s="156" t="s">
        <v>55</v>
      </c>
      <c r="B63" s="157"/>
      <c r="C63" s="157"/>
      <c r="D63" s="157"/>
      <c r="E63" s="157"/>
      <c r="F63" s="158"/>
    </row>
    <row r="64" spans="1:6" ht="15.5" thickBot="1" x14ac:dyDescent="0.4">
      <c r="A64" s="150"/>
      <c r="B64" s="151"/>
      <c r="C64" s="151"/>
      <c r="D64" s="151"/>
      <c r="E64" s="151"/>
      <c r="F64" s="152"/>
    </row>
    <row r="65" spans="1:6" ht="15.5" thickBot="1" x14ac:dyDescent="0.4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3" t="s">
        <v>5</v>
      </c>
    </row>
    <row r="66" spans="1:6" ht="16" thickBot="1" x14ac:dyDescent="0.4">
      <c r="A66" s="4" t="s">
        <v>6</v>
      </c>
      <c r="B66" s="5" t="s">
        <v>7</v>
      </c>
      <c r="C66" s="6"/>
      <c r="D66" s="6"/>
      <c r="E66" s="6"/>
      <c r="F66" s="7"/>
    </row>
    <row r="67" spans="1:6" ht="31.5" thickBot="1" x14ac:dyDescent="0.4">
      <c r="A67" s="8" t="s">
        <v>8</v>
      </c>
      <c r="B67" s="9" t="s">
        <v>9</v>
      </c>
      <c r="C67" s="10" t="s">
        <v>10</v>
      </c>
      <c r="D67" s="11">
        <v>1</v>
      </c>
      <c r="E67" s="12"/>
      <c r="F67" s="13"/>
    </row>
    <row r="68" spans="1:6" ht="16" thickBot="1" x14ac:dyDescent="0.4">
      <c r="A68" s="8" t="s">
        <v>11</v>
      </c>
      <c r="B68" s="9" t="s">
        <v>12</v>
      </c>
      <c r="C68" s="10" t="s">
        <v>10</v>
      </c>
      <c r="D68" s="10">
        <v>1</v>
      </c>
      <c r="E68" s="12"/>
      <c r="F68" s="13"/>
    </row>
    <row r="69" spans="1:6" ht="16" thickBot="1" x14ac:dyDescent="0.4">
      <c r="A69" s="159" t="s">
        <v>13</v>
      </c>
      <c r="B69" s="160"/>
      <c r="C69" s="14"/>
      <c r="D69" s="14"/>
      <c r="E69" s="15"/>
      <c r="F69" s="16"/>
    </row>
    <row r="70" spans="1:6" ht="16" thickBot="1" x14ac:dyDescent="0.4">
      <c r="A70" s="4" t="s">
        <v>14</v>
      </c>
      <c r="B70" s="5" t="s">
        <v>15</v>
      </c>
      <c r="C70" s="6"/>
      <c r="D70" s="6"/>
      <c r="E70" s="17"/>
      <c r="F70" s="18"/>
    </row>
    <row r="71" spans="1:6" ht="20" thickBot="1" x14ac:dyDescent="0.4">
      <c r="A71" s="8" t="s">
        <v>16</v>
      </c>
      <c r="B71" s="9" t="s">
        <v>17</v>
      </c>
      <c r="C71" s="10" t="s">
        <v>18</v>
      </c>
      <c r="D71" s="10">
        <v>32</v>
      </c>
      <c r="E71" s="12"/>
      <c r="F71" s="13"/>
    </row>
    <row r="72" spans="1:6" ht="39.5" thickBot="1" x14ac:dyDescent="0.4">
      <c r="A72" s="8" t="s">
        <v>19</v>
      </c>
      <c r="B72" s="9" t="s">
        <v>20</v>
      </c>
      <c r="C72" s="10" t="s">
        <v>18</v>
      </c>
      <c r="D72" s="10">
        <f>150-D71</f>
        <v>118</v>
      </c>
      <c r="E72" s="12"/>
      <c r="F72" s="13"/>
    </row>
    <row r="73" spans="1:6" ht="16" thickBot="1" x14ac:dyDescent="0.4">
      <c r="A73" s="8" t="s">
        <v>21</v>
      </c>
      <c r="B73" s="9" t="s">
        <v>22</v>
      </c>
      <c r="C73" s="10" t="s">
        <v>18</v>
      </c>
      <c r="D73" s="10">
        <f>+D71</f>
        <v>32</v>
      </c>
      <c r="E73" s="12"/>
      <c r="F73" s="13"/>
    </row>
    <row r="74" spans="1:6" ht="16" thickBot="1" x14ac:dyDescent="0.4">
      <c r="A74" s="159" t="s">
        <v>23</v>
      </c>
      <c r="B74" s="160"/>
      <c r="C74" s="14"/>
      <c r="D74" s="14"/>
      <c r="E74" s="15"/>
      <c r="F74" s="16"/>
    </row>
    <row r="75" spans="1:6" ht="16" thickBot="1" x14ac:dyDescent="0.4">
      <c r="A75" s="4" t="s">
        <v>24</v>
      </c>
      <c r="B75" s="5" t="s">
        <v>25</v>
      </c>
      <c r="C75" s="6"/>
      <c r="D75" s="19"/>
      <c r="E75" s="17"/>
      <c r="F75" s="18"/>
    </row>
    <row r="76" spans="1:6" ht="47" thickBot="1" x14ac:dyDescent="0.4">
      <c r="A76" s="8" t="s">
        <v>26</v>
      </c>
      <c r="B76" s="9" t="s">
        <v>27</v>
      </c>
      <c r="C76" s="10" t="s">
        <v>18</v>
      </c>
      <c r="D76" s="10">
        <f>+D71</f>
        <v>32</v>
      </c>
      <c r="E76" s="12"/>
      <c r="F76" s="13"/>
    </row>
    <row r="77" spans="1:6" ht="62.5" thickBot="1" x14ac:dyDescent="0.4">
      <c r="A77" s="8" t="s">
        <v>28</v>
      </c>
      <c r="B77" s="20" t="s">
        <v>29</v>
      </c>
      <c r="C77" s="21" t="s">
        <v>18</v>
      </c>
      <c r="D77" s="21">
        <f>+D72</f>
        <v>118</v>
      </c>
      <c r="E77" s="22"/>
      <c r="F77" s="13"/>
    </row>
    <row r="78" spans="1:6" ht="31.5" thickBot="1" x14ac:dyDescent="0.4">
      <c r="A78" s="8" t="s">
        <v>30</v>
      </c>
      <c r="B78" s="23" t="s">
        <v>31</v>
      </c>
      <c r="C78" s="24" t="s">
        <v>32</v>
      </c>
      <c r="D78" s="24">
        <v>1</v>
      </c>
      <c r="E78" s="25"/>
      <c r="F78" s="13"/>
    </row>
    <row r="79" spans="1:6" ht="62.5" thickBot="1" x14ac:dyDescent="0.4">
      <c r="A79" s="8" t="s">
        <v>33</v>
      </c>
      <c r="B79" s="9" t="s">
        <v>34</v>
      </c>
      <c r="C79" s="10" t="s">
        <v>32</v>
      </c>
      <c r="D79" s="10">
        <v>1</v>
      </c>
      <c r="E79" s="12"/>
      <c r="F79" s="13"/>
    </row>
    <row r="80" spans="1:6" ht="47" thickBot="1" x14ac:dyDescent="0.4">
      <c r="A80" s="8" t="s">
        <v>35</v>
      </c>
      <c r="B80" s="9" t="s">
        <v>36</v>
      </c>
      <c r="C80" s="10" t="s">
        <v>32</v>
      </c>
      <c r="D80" s="26">
        <v>1</v>
      </c>
      <c r="E80" s="12"/>
      <c r="F80" s="13"/>
    </row>
    <row r="81" spans="1:6" ht="16" thickBot="1" x14ac:dyDescent="0.4">
      <c r="A81" s="8" t="s">
        <v>37</v>
      </c>
      <c r="B81" s="27" t="s">
        <v>38</v>
      </c>
      <c r="C81" s="10" t="s">
        <v>32</v>
      </c>
      <c r="D81" s="26">
        <v>1</v>
      </c>
      <c r="E81" s="12"/>
      <c r="F81" s="13"/>
    </row>
    <row r="82" spans="1:6" ht="15.5" thickBot="1" x14ac:dyDescent="0.4">
      <c r="A82" s="159" t="s">
        <v>39</v>
      </c>
      <c r="B82" s="160"/>
      <c r="C82" s="28"/>
      <c r="D82" s="28"/>
      <c r="E82" s="29"/>
      <c r="F82" s="16"/>
    </row>
    <row r="83" spans="1:6" ht="31.5" thickBot="1" x14ac:dyDescent="0.4">
      <c r="A83" s="4" t="s">
        <v>40</v>
      </c>
      <c r="B83" s="5" t="s">
        <v>41</v>
      </c>
      <c r="C83" s="6"/>
      <c r="D83" s="6"/>
      <c r="E83" s="17"/>
      <c r="F83" s="17"/>
    </row>
    <row r="84" spans="1:6" ht="16" thickBot="1" x14ac:dyDescent="0.4">
      <c r="A84" s="8" t="s">
        <v>42</v>
      </c>
      <c r="B84" s="9" t="s">
        <v>43</v>
      </c>
      <c r="C84" s="10" t="s">
        <v>44</v>
      </c>
      <c r="D84" s="26">
        <v>4</v>
      </c>
      <c r="E84" s="12"/>
      <c r="F84" s="30"/>
    </row>
    <row r="85" spans="1:6" ht="31.5" thickBot="1" x14ac:dyDescent="0.4">
      <c r="A85" s="8" t="s">
        <v>45</v>
      </c>
      <c r="B85" s="9" t="s">
        <v>46</v>
      </c>
      <c r="C85" s="10" t="s">
        <v>32</v>
      </c>
      <c r="D85" s="26">
        <v>1</v>
      </c>
      <c r="E85" s="12"/>
      <c r="F85" s="30"/>
    </row>
    <row r="86" spans="1:6" ht="16" thickBot="1" x14ac:dyDescent="0.4">
      <c r="A86" s="8" t="s">
        <v>47</v>
      </c>
      <c r="B86" s="9" t="s">
        <v>50</v>
      </c>
      <c r="C86" s="10" t="s">
        <v>32</v>
      </c>
      <c r="D86" s="26">
        <v>1</v>
      </c>
      <c r="E86" s="12"/>
      <c r="F86" s="30"/>
    </row>
    <row r="87" spans="1:6" ht="15.5" thickBot="1" x14ac:dyDescent="0.4">
      <c r="A87" s="31"/>
      <c r="B87" s="32" t="s">
        <v>51</v>
      </c>
      <c r="C87" s="28"/>
      <c r="D87" s="28"/>
      <c r="E87" s="33"/>
      <c r="F87" s="16"/>
    </row>
    <row r="88" spans="1:6" ht="15.5" thickBot="1" x14ac:dyDescent="0.4">
      <c r="A88" s="145" t="s">
        <v>52</v>
      </c>
      <c r="B88" s="146"/>
      <c r="C88" s="34"/>
      <c r="D88" s="34"/>
      <c r="E88" s="35"/>
      <c r="F88" s="36"/>
    </row>
    <row r="90" spans="1:6" ht="15" thickBot="1" x14ac:dyDescent="0.4"/>
    <row r="91" spans="1:6" ht="16" thickBot="1" x14ac:dyDescent="0.4">
      <c r="A91" s="156" t="s">
        <v>56</v>
      </c>
      <c r="B91" s="157"/>
      <c r="C91" s="157"/>
      <c r="D91" s="157"/>
      <c r="E91" s="157"/>
      <c r="F91" s="158"/>
    </row>
    <row r="92" spans="1:6" ht="15.5" thickBot="1" x14ac:dyDescent="0.4">
      <c r="A92" s="150"/>
      <c r="B92" s="151"/>
      <c r="C92" s="151"/>
      <c r="D92" s="151"/>
      <c r="E92" s="151"/>
      <c r="F92" s="152"/>
    </row>
    <row r="93" spans="1:6" ht="15.5" thickBot="1" x14ac:dyDescent="0.4">
      <c r="A93" s="1" t="s">
        <v>0</v>
      </c>
      <c r="B93" s="2" t="s">
        <v>1</v>
      </c>
      <c r="C93" s="2" t="s">
        <v>2</v>
      </c>
      <c r="D93" s="2" t="s">
        <v>3</v>
      </c>
      <c r="E93" s="2" t="s">
        <v>4</v>
      </c>
      <c r="F93" s="3" t="s">
        <v>5</v>
      </c>
    </row>
    <row r="94" spans="1:6" ht="16" thickBot="1" x14ac:dyDescent="0.4">
      <c r="A94" s="4" t="s">
        <v>6</v>
      </c>
      <c r="B94" s="5" t="s">
        <v>7</v>
      </c>
      <c r="C94" s="6"/>
      <c r="D94" s="6"/>
      <c r="E94" s="6"/>
      <c r="F94" s="7"/>
    </row>
    <row r="95" spans="1:6" ht="31.5" thickBot="1" x14ac:dyDescent="0.4">
      <c r="A95" s="8" t="s">
        <v>8</v>
      </c>
      <c r="B95" s="9" t="s">
        <v>9</v>
      </c>
      <c r="C95" s="10" t="s">
        <v>10</v>
      </c>
      <c r="D95" s="11">
        <v>1</v>
      </c>
      <c r="E95" s="12"/>
      <c r="F95" s="13"/>
    </row>
    <row r="96" spans="1:6" ht="16" thickBot="1" x14ac:dyDescent="0.4">
      <c r="A96" s="8" t="s">
        <v>11</v>
      </c>
      <c r="B96" s="9" t="s">
        <v>12</v>
      </c>
      <c r="C96" s="10" t="s">
        <v>10</v>
      </c>
      <c r="D96" s="10">
        <v>1</v>
      </c>
      <c r="E96" s="12"/>
      <c r="F96" s="13"/>
    </row>
    <row r="97" spans="1:6" ht="16" thickBot="1" x14ac:dyDescent="0.4">
      <c r="A97" s="159" t="s">
        <v>13</v>
      </c>
      <c r="B97" s="160"/>
      <c r="C97" s="14"/>
      <c r="D97" s="14"/>
      <c r="E97" s="15"/>
      <c r="F97" s="16"/>
    </row>
    <row r="98" spans="1:6" ht="16" thickBot="1" x14ac:dyDescent="0.4">
      <c r="A98" s="4" t="s">
        <v>14</v>
      </c>
      <c r="B98" s="5" t="s">
        <v>15</v>
      </c>
      <c r="C98" s="6"/>
      <c r="D98" s="6"/>
      <c r="E98" s="17"/>
      <c r="F98" s="18"/>
    </row>
    <row r="99" spans="1:6" ht="20" thickBot="1" x14ac:dyDescent="0.4">
      <c r="A99" s="8" t="s">
        <v>16</v>
      </c>
      <c r="B99" s="9" t="s">
        <v>17</v>
      </c>
      <c r="C99" s="10" t="s">
        <v>18</v>
      </c>
      <c r="D99" s="10">
        <v>40</v>
      </c>
      <c r="E99" s="12"/>
      <c r="F99" s="13"/>
    </row>
    <row r="100" spans="1:6" ht="39.5" thickBot="1" x14ac:dyDescent="0.4">
      <c r="A100" s="8" t="s">
        <v>19</v>
      </c>
      <c r="B100" s="9" t="s">
        <v>20</v>
      </c>
      <c r="C100" s="10" t="s">
        <v>18</v>
      </c>
      <c r="D100" s="10">
        <f>150-D99</f>
        <v>110</v>
      </c>
      <c r="E100" s="12"/>
      <c r="F100" s="13"/>
    </row>
    <row r="101" spans="1:6" ht="16" thickBot="1" x14ac:dyDescent="0.4">
      <c r="A101" s="8" t="s">
        <v>21</v>
      </c>
      <c r="B101" s="9" t="s">
        <v>22</v>
      </c>
      <c r="C101" s="10" t="s">
        <v>18</v>
      </c>
      <c r="D101" s="10">
        <f>+D99</f>
        <v>40</v>
      </c>
      <c r="E101" s="12"/>
      <c r="F101" s="13"/>
    </row>
    <row r="102" spans="1:6" ht="16" thickBot="1" x14ac:dyDescent="0.4">
      <c r="A102" s="159" t="s">
        <v>23</v>
      </c>
      <c r="B102" s="160"/>
      <c r="C102" s="14"/>
      <c r="D102" s="14"/>
      <c r="E102" s="15"/>
      <c r="F102" s="16"/>
    </row>
    <row r="103" spans="1:6" ht="16" thickBot="1" x14ac:dyDescent="0.4">
      <c r="A103" s="4" t="s">
        <v>24</v>
      </c>
      <c r="B103" s="5" t="s">
        <v>25</v>
      </c>
      <c r="C103" s="6"/>
      <c r="D103" s="19"/>
      <c r="E103" s="17"/>
      <c r="F103" s="18"/>
    </row>
    <row r="104" spans="1:6" ht="47" thickBot="1" x14ac:dyDescent="0.4">
      <c r="A104" s="8" t="s">
        <v>26</v>
      </c>
      <c r="B104" s="9" t="s">
        <v>27</v>
      </c>
      <c r="C104" s="10" t="s">
        <v>18</v>
      </c>
      <c r="D104" s="10">
        <f>+D99</f>
        <v>40</v>
      </c>
      <c r="E104" s="12"/>
      <c r="F104" s="13"/>
    </row>
    <row r="105" spans="1:6" ht="62.5" thickBot="1" x14ac:dyDescent="0.4">
      <c r="A105" s="8" t="s">
        <v>28</v>
      </c>
      <c r="B105" s="20" t="s">
        <v>29</v>
      </c>
      <c r="C105" s="21" t="s">
        <v>18</v>
      </c>
      <c r="D105" s="21">
        <f>+D100</f>
        <v>110</v>
      </c>
      <c r="E105" s="22"/>
      <c r="F105" s="13"/>
    </row>
    <row r="106" spans="1:6" ht="31.5" thickBot="1" x14ac:dyDescent="0.4">
      <c r="A106" s="8" t="s">
        <v>30</v>
      </c>
      <c r="B106" s="23" t="s">
        <v>31</v>
      </c>
      <c r="C106" s="24" t="s">
        <v>32</v>
      </c>
      <c r="D106" s="24">
        <v>1</v>
      </c>
      <c r="E106" s="25"/>
      <c r="F106" s="13"/>
    </row>
    <row r="107" spans="1:6" ht="62.5" thickBot="1" x14ac:dyDescent="0.4">
      <c r="A107" s="8" t="s">
        <v>33</v>
      </c>
      <c r="B107" s="9" t="s">
        <v>34</v>
      </c>
      <c r="C107" s="10" t="s">
        <v>32</v>
      </c>
      <c r="D107" s="10">
        <v>1</v>
      </c>
      <c r="E107" s="12"/>
      <c r="F107" s="13"/>
    </row>
    <row r="108" spans="1:6" ht="47" thickBot="1" x14ac:dyDescent="0.4">
      <c r="A108" s="8" t="s">
        <v>35</v>
      </c>
      <c r="B108" s="9" t="s">
        <v>36</v>
      </c>
      <c r="C108" s="10" t="s">
        <v>32</v>
      </c>
      <c r="D108" s="26">
        <v>1</v>
      </c>
      <c r="E108" s="12"/>
      <c r="F108" s="13"/>
    </row>
    <row r="109" spans="1:6" ht="16" thickBot="1" x14ac:dyDescent="0.4">
      <c r="A109" s="8" t="s">
        <v>37</v>
      </c>
      <c r="B109" s="27" t="s">
        <v>53</v>
      </c>
      <c r="C109" s="10" t="s">
        <v>32</v>
      </c>
      <c r="D109" s="26">
        <v>1</v>
      </c>
      <c r="E109" s="12"/>
      <c r="F109" s="13"/>
    </row>
    <row r="110" spans="1:6" ht="15.5" thickBot="1" x14ac:dyDescent="0.4">
      <c r="A110" s="159" t="s">
        <v>39</v>
      </c>
      <c r="B110" s="160"/>
      <c r="C110" s="28"/>
      <c r="D110" s="28"/>
      <c r="E110" s="29"/>
      <c r="F110" s="16"/>
    </row>
    <row r="111" spans="1:6" ht="31.5" thickBot="1" x14ac:dyDescent="0.4">
      <c r="A111" s="4" t="s">
        <v>40</v>
      </c>
      <c r="B111" s="5" t="s">
        <v>41</v>
      </c>
      <c r="C111" s="6"/>
      <c r="D111" s="6"/>
      <c r="E111" s="17"/>
      <c r="F111" s="17"/>
    </row>
    <row r="112" spans="1:6" ht="16" thickBot="1" x14ac:dyDescent="0.4">
      <c r="A112" s="8" t="s">
        <v>42</v>
      </c>
      <c r="B112" s="9" t="s">
        <v>43</v>
      </c>
      <c r="C112" s="10" t="s">
        <v>44</v>
      </c>
      <c r="D112" s="26">
        <v>4</v>
      </c>
      <c r="E112" s="12"/>
      <c r="F112" s="30"/>
    </row>
    <row r="113" spans="1:6" ht="31.5" thickBot="1" x14ac:dyDescent="0.4">
      <c r="A113" s="8" t="s">
        <v>45</v>
      </c>
      <c r="B113" s="9" t="s">
        <v>46</v>
      </c>
      <c r="C113" s="10" t="s">
        <v>32</v>
      </c>
      <c r="D113" s="26">
        <v>1</v>
      </c>
      <c r="E113" s="12"/>
      <c r="F113" s="30"/>
    </row>
    <row r="114" spans="1:6" ht="16" thickBot="1" x14ac:dyDescent="0.4">
      <c r="A114" s="8" t="s">
        <v>47</v>
      </c>
      <c r="B114" s="9" t="s">
        <v>50</v>
      </c>
      <c r="C114" s="10" t="s">
        <v>32</v>
      </c>
      <c r="D114" s="26">
        <v>1</v>
      </c>
      <c r="E114" s="12"/>
      <c r="F114" s="30"/>
    </row>
    <row r="115" spans="1:6" ht="15.5" thickBot="1" x14ac:dyDescent="0.4">
      <c r="A115" s="31"/>
      <c r="B115" s="32" t="s">
        <v>51</v>
      </c>
      <c r="C115" s="28"/>
      <c r="D115" s="28"/>
      <c r="E115" s="33"/>
      <c r="F115" s="16"/>
    </row>
    <row r="116" spans="1:6" ht="15.5" thickBot="1" x14ac:dyDescent="0.4">
      <c r="A116" s="145" t="s">
        <v>52</v>
      </c>
      <c r="B116" s="146"/>
      <c r="C116" s="34"/>
      <c r="D116" s="34"/>
      <c r="E116" s="35"/>
      <c r="F116" s="36"/>
    </row>
    <row r="117" spans="1:6" ht="15" thickBot="1" x14ac:dyDescent="0.4"/>
    <row r="118" spans="1:6" ht="15.5" thickBot="1" x14ac:dyDescent="0.4">
      <c r="A118" s="161" t="s">
        <v>65</v>
      </c>
      <c r="B118" s="162"/>
      <c r="C118" s="162"/>
      <c r="D118" s="162"/>
      <c r="E118" s="162"/>
      <c r="F118" s="163"/>
    </row>
    <row r="120" spans="1:6" ht="15" x14ac:dyDescent="0.35">
      <c r="A120" s="57" t="s">
        <v>0</v>
      </c>
      <c r="B120" s="57" t="s">
        <v>62</v>
      </c>
      <c r="C120" s="57" t="s">
        <v>2</v>
      </c>
      <c r="D120" s="57" t="s">
        <v>3</v>
      </c>
      <c r="E120" s="57" t="s">
        <v>4</v>
      </c>
      <c r="F120" s="58" t="s">
        <v>5</v>
      </c>
    </row>
    <row r="121" spans="1:6" ht="15.5" x14ac:dyDescent="0.35">
      <c r="A121" s="59">
        <v>1</v>
      </c>
      <c r="B121" s="59" t="str">
        <f>+A7</f>
        <v>Village de Dogoni</v>
      </c>
      <c r="C121" s="60" t="s">
        <v>63</v>
      </c>
      <c r="D121" s="60">
        <v>2</v>
      </c>
      <c r="E121" s="59"/>
      <c r="F121" s="59"/>
    </row>
    <row r="122" spans="1:6" ht="15.5" x14ac:dyDescent="0.35">
      <c r="A122" s="59">
        <v>2</v>
      </c>
      <c r="B122" s="59" t="str">
        <f>+A35</f>
        <v>M'piabougou</v>
      </c>
      <c r="C122" s="60" t="s">
        <v>63</v>
      </c>
      <c r="D122" s="60">
        <v>2</v>
      </c>
      <c r="E122" s="59"/>
      <c r="F122" s="59"/>
    </row>
    <row r="123" spans="1:6" ht="15.5" x14ac:dyDescent="0.35">
      <c r="A123" s="59">
        <v>3</v>
      </c>
      <c r="B123" s="59" t="str">
        <f>+A63</f>
        <v>N'gabakoro</v>
      </c>
      <c r="C123" s="60" t="s">
        <v>63</v>
      </c>
      <c r="D123" s="60">
        <v>2</v>
      </c>
      <c r="E123" s="59"/>
      <c r="F123" s="59"/>
    </row>
    <row r="124" spans="1:6" ht="15.5" x14ac:dyDescent="0.35">
      <c r="A124" s="59">
        <v>3</v>
      </c>
      <c r="B124" s="59" t="str">
        <f>+A91</f>
        <v>Zana</v>
      </c>
      <c r="C124" s="60" t="s">
        <v>63</v>
      </c>
      <c r="D124" s="60">
        <v>2</v>
      </c>
      <c r="E124" s="59"/>
      <c r="F124" s="59"/>
    </row>
  </sheetData>
  <mergeCells count="30">
    <mergeCell ref="A118:F118"/>
    <mergeCell ref="A91:F91"/>
    <mergeCell ref="A92:F92"/>
    <mergeCell ref="A97:B97"/>
    <mergeCell ref="A102:B102"/>
    <mergeCell ref="A110:B110"/>
    <mergeCell ref="A116:B116"/>
    <mergeCell ref="A88:B88"/>
    <mergeCell ref="A35:F35"/>
    <mergeCell ref="A36:F36"/>
    <mergeCell ref="A41:B41"/>
    <mergeCell ref="A46:B46"/>
    <mergeCell ref="A54:B54"/>
    <mergeCell ref="A60:B60"/>
    <mergeCell ref="A63:F63"/>
    <mergeCell ref="A64:F64"/>
    <mergeCell ref="A69:B69"/>
    <mergeCell ref="A74:B74"/>
    <mergeCell ref="A82:B82"/>
    <mergeCell ref="A32:B32"/>
    <mergeCell ref="A1:F1"/>
    <mergeCell ref="A2:F2"/>
    <mergeCell ref="A3:F3"/>
    <mergeCell ref="A4:F4"/>
    <mergeCell ref="A5:F5"/>
    <mergeCell ref="A7:F7"/>
    <mergeCell ref="A8:F8"/>
    <mergeCell ref="A13:B13"/>
    <mergeCell ref="A18:B18"/>
    <mergeCell ref="A26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0998-0A96-448E-A69A-020BE11C5910}">
  <dimension ref="A1:F94"/>
  <sheetViews>
    <sheetView topLeftCell="A85" workbookViewId="0">
      <selection activeCell="J12" sqref="J12"/>
    </sheetView>
  </sheetViews>
  <sheetFormatPr baseColWidth="10" defaultRowHeight="14.5" x14ac:dyDescent="0.35"/>
  <cols>
    <col min="2" max="2" width="46" customWidth="1"/>
  </cols>
  <sheetData>
    <row r="1" spans="1:6" ht="71.400000000000006" customHeight="1" thickBot="1" x14ac:dyDescent="0.4">
      <c r="A1" s="147" t="s">
        <v>282</v>
      </c>
      <c r="B1" s="148"/>
      <c r="C1" s="148"/>
      <c r="D1" s="148"/>
      <c r="E1" s="148"/>
      <c r="F1" s="149"/>
    </row>
    <row r="2" spans="1:6" ht="15.5" thickBot="1" x14ac:dyDescent="0.4">
      <c r="A2" s="150"/>
      <c r="B2" s="151"/>
      <c r="C2" s="151"/>
      <c r="D2" s="151"/>
      <c r="E2" s="151"/>
      <c r="F2" s="152"/>
    </row>
    <row r="3" spans="1:6" ht="16" thickBot="1" x14ac:dyDescent="0.4">
      <c r="A3" s="153" t="s">
        <v>271</v>
      </c>
      <c r="B3" s="154"/>
      <c r="C3" s="154"/>
      <c r="D3" s="154"/>
      <c r="E3" s="154"/>
      <c r="F3" s="155"/>
    </row>
    <row r="4" spans="1:6" ht="15.5" thickBot="1" x14ac:dyDescent="0.4">
      <c r="A4" s="150"/>
      <c r="B4" s="151"/>
      <c r="C4" s="151"/>
      <c r="D4" s="151"/>
      <c r="E4" s="151"/>
      <c r="F4" s="152"/>
    </row>
    <row r="5" spans="1:6" ht="16" thickBot="1" x14ac:dyDescent="0.4">
      <c r="A5" s="153" t="s">
        <v>268</v>
      </c>
      <c r="B5" s="154"/>
      <c r="C5" s="154"/>
      <c r="D5" s="154"/>
      <c r="E5" s="154"/>
      <c r="F5" s="155"/>
    </row>
    <row r="6" spans="1:6" ht="16" thickBot="1" x14ac:dyDescent="0.4">
      <c r="A6" s="164" t="s">
        <v>57</v>
      </c>
      <c r="B6" s="165"/>
      <c r="C6" s="165"/>
      <c r="D6" s="165"/>
      <c r="E6" s="165"/>
      <c r="F6" s="166"/>
    </row>
    <row r="7" spans="1:6" ht="15.5" thickBot="1" x14ac:dyDescent="0.4">
      <c r="A7" s="167"/>
      <c r="B7" s="168"/>
      <c r="C7" s="168"/>
      <c r="D7" s="168"/>
      <c r="E7" s="168"/>
      <c r="F7" s="169"/>
    </row>
    <row r="8" spans="1:6" ht="15.5" thickBot="1" x14ac:dyDescent="0.4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</row>
    <row r="9" spans="1:6" ht="16" thickBot="1" x14ac:dyDescent="0.4">
      <c r="A9" s="4" t="s">
        <v>6</v>
      </c>
      <c r="B9" s="5" t="s">
        <v>7</v>
      </c>
      <c r="C9" s="6"/>
      <c r="D9" s="6"/>
      <c r="E9" s="6"/>
      <c r="F9" s="6"/>
    </row>
    <row r="10" spans="1:6" ht="47" thickBot="1" x14ac:dyDescent="0.4">
      <c r="A10" s="8" t="s">
        <v>8</v>
      </c>
      <c r="B10" s="27" t="s">
        <v>9</v>
      </c>
      <c r="C10" s="10" t="s">
        <v>10</v>
      </c>
      <c r="D10" s="11">
        <v>1</v>
      </c>
      <c r="E10" s="12"/>
      <c r="F10" s="12"/>
    </row>
    <row r="11" spans="1:6" ht="16" thickBot="1" x14ac:dyDescent="0.4">
      <c r="A11" s="8" t="s">
        <v>11</v>
      </c>
      <c r="B11" s="27" t="s">
        <v>12</v>
      </c>
      <c r="C11" s="10" t="s">
        <v>10</v>
      </c>
      <c r="D11" s="10">
        <v>1</v>
      </c>
      <c r="E11" s="12"/>
      <c r="F11" s="12"/>
    </row>
    <row r="12" spans="1:6" ht="16" thickBot="1" x14ac:dyDescent="0.4">
      <c r="A12" s="159" t="s">
        <v>13</v>
      </c>
      <c r="B12" s="160"/>
      <c r="C12" s="14"/>
      <c r="D12" s="14"/>
      <c r="E12" s="15"/>
      <c r="F12" s="33"/>
    </row>
    <row r="13" spans="1:6" ht="16" thickBot="1" x14ac:dyDescent="0.4">
      <c r="A13" s="4" t="s">
        <v>14</v>
      </c>
      <c r="B13" s="5" t="s">
        <v>15</v>
      </c>
      <c r="C13" s="6"/>
      <c r="D13" s="6"/>
      <c r="E13" s="17"/>
      <c r="F13" s="17"/>
    </row>
    <row r="14" spans="1:6" ht="39.5" thickBot="1" x14ac:dyDescent="0.4">
      <c r="A14" s="8" t="s">
        <v>16</v>
      </c>
      <c r="B14" s="27" t="s">
        <v>17</v>
      </c>
      <c r="C14" s="10" t="s">
        <v>18</v>
      </c>
      <c r="D14" s="10">
        <v>55</v>
      </c>
      <c r="E14" s="12"/>
      <c r="F14" s="12"/>
    </row>
    <row r="15" spans="1:6" ht="35.5" thickBot="1" x14ac:dyDescent="0.4">
      <c r="A15" s="8" t="s">
        <v>19</v>
      </c>
      <c r="B15" s="27" t="s">
        <v>20</v>
      </c>
      <c r="C15" s="10" t="s">
        <v>18</v>
      </c>
      <c r="D15" s="10">
        <f>150-D14</f>
        <v>95</v>
      </c>
      <c r="E15" s="12"/>
      <c r="F15" s="12"/>
    </row>
    <row r="16" spans="1:6" ht="16" thickBot="1" x14ac:dyDescent="0.4">
      <c r="A16" s="8" t="s">
        <v>21</v>
      </c>
      <c r="B16" s="27" t="s">
        <v>22</v>
      </c>
      <c r="C16" s="10" t="s">
        <v>18</v>
      </c>
      <c r="D16" s="10">
        <f>+D14</f>
        <v>55</v>
      </c>
      <c r="E16" s="12"/>
      <c r="F16" s="12"/>
    </row>
    <row r="17" spans="1:6" ht="16" thickBot="1" x14ac:dyDescent="0.4">
      <c r="A17" s="159" t="s">
        <v>23</v>
      </c>
      <c r="B17" s="160"/>
      <c r="C17" s="14"/>
      <c r="D17" s="14"/>
      <c r="E17" s="15"/>
      <c r="F17" s="33"/>
    </row>
    <row r="18" spans="1:6" ht="16" thickBot="1" x14ac:dyDescent="0.4">
      <c r="A18" s="4" t="s">
        <v>24</v>
      </c>
      <c r="B18" s="5" t="s">
        <v>25</v>
      </c>
      <c r="C18" s="6"/>
      <c r="D18" s="19"/>
      <c r="E18" s="17"/>
      <c r="F18" s="17"/>
    </row>
    <row r="19" spans="1:6" ht="47" thickBot="1" x14ac:dyDescent="0.4">
      <c r="A19" s="8" t="s">
        <v>26</v>
      </c>
      <c r="B19" s="27" t="s">
        <v>27</v>
      </c>
      <c r="C19" s="10" t="s">
        <v>18</v>
      </c>
      <c r="D19" s="10">
        <f>+D14</f>
        <v>55</v>
      </c>
      <c r="E19" s="12"/>
      <c r="F19" s="12"/>
    </row>
    <row r="20" spans="1:6" ht="62.5" thickBot="1" x14ac:dyDescent="0.4">
      <c r="A20" s="8" t="s">
        <v>28</v>
      </c>
      <c r="B20" s="38" t="s">
        <v>29</v>
      </c>
      <c r="C20" s="21" t="s">
        <v>18</v>
      </c>
      <c r="D20" s="21">
        <f>+D15</f>
        <v>95</v>
      </c>
      <c r="E20" s="22"/>
      <c r="F20" s="12"/>
    </row>
    <row r="21" spans="1:6" ht="31.5" thickBot="1" x14ac:dyDescent="0.4">
      <c r="A21" s="8" t="s">
        <v>30</v>
      </c>
      <c r="B21" s="39" t="s">
        <v>31</v>
      </c>
      <c r="C21" s="24" t="s">
        <v>32</v>
      </c>
      <c r="D21" s="24">
        <v>1</v>
      </c>
      <c r="E21" s="25"/>
      <c r="F21" s="12"/>
    </row>
    <row r="22" spans="1:6" ht="62.5" thickBot="1" x14ac:dyDescent="0.4">
      <c r="A22" s="8" t="s">
        <v>33</v>
      </c>
      <c r="B22" s="27" t="s">
        <v>34</v>
      </c>
      <c r="C22" s="10" t="s">
        <v>32</v>
      </c>
      <c r="D22" s="10">
        <v>1</v>
      </c>
      <c r="E22" s="12"/>
      <c r="F22" s="12"/>
    </row>
    <row r="23" spans="1:6" ht="62.5" thickBot="1" x14ac:dyDescent="0.4">
      <c r="A23" s="8" t="s">
        <v>35</v>
      </c>
      <c r="B23" s="27" t="s">
        <v>36</v>
      </c>
      <c r="C23" s="10" t="s">
        <v>32</v>
      </c>
      <c r="D23" s="26">
        <v>1</v>
      </c>
      <c r="E23" s="12"/>
      <c r="F23" s="12"/>
    </row>
    <row r="24" spans="1:6" ht="16" thickBot="1" x14ac:dyDescent="0.4">
      <c r="A24" s="8" t="s">
        <v>37</v>
      </c>
      <c r="B24" s="27" t="s">
        <v>38</v>
      </c>
      <c r="C24" s="10" t="s">
        <v>32</v>
      </c>
      <c r="D24" s="26">
        <v>1</v>
      </c>
      <c r="E24" s="12"/>
      <c r="F24" s="12"/>
    </row>
    <row r="25" spans="1:6" ht="15.5" thickBot="1" x14ac:dyDescent="0.4">
      <c r="A25" s="159" t="s">
        <v>39</v>
      </c>
      <c r="B25" s="160"/>
      <c r="C25" s="28"/>
      <c r="D25" s="28"/>
      <c r="E25" s="29"/>
      <c r="F25" s="33"/>
    </row>
    <row r="26" spans="1:6" ht="31.5" thickBot="1" x14ac:dyDescent="0.4">
      <c r="A26" s="4" t="s">
        <v>40</v>
      </c>
      <c r="B26" s="5" t="s">
        <v>41</v>
      </c>
      <c r="C26" s="6"/>
      <c r="D26" s="6"/>
      <c r="E26" s="17"/>
      <c r="F26" s="17"/>
    </row>
    <row r="27" spans="1:6" ht="16" thickBot="1" x14ac:dyDescent="0.4">
      <c r="A27" s="8" t="s">
        <v>42</v>
      </c>
      <c r="B27" s="27" t="s">
        <v>43</v>
      </c>
      <c r="C27" s="10" t="s">
        <v>44</v>
      </c>
      <c r="D27" s="26">
        <v>4</v>
      </c>
      <c r="E27" s="12"/>
      <c r="F27" s="40"/>
    </row>
    <row r="28" spans="1:6" ht="31.5" thickBot="1" x14ac:dyDescent="0.4">
      <c r="A28" s="8" t="s">
        <v>45</v>
      </c>
      <c r="B28" s="27" t="s">
        <v>46</v>
      </c>
      <c r="C28" s="10" t="s">
        <v>32</v>
      </c>
      <c r="D28" s="26">
        <v>1</v>
      </c>
      <c r="E28" s="12"/>
      <c r="F28" s="40"/>
    </row>
    <row r="29" spans="1:6" ht="16" thickBot="1" x14ac:dyDescent="0.4">
      <c r="A29" s="8" t="s">
        <v>47</v>
      </c>
      <c r="B29" s="27" t="s">
        <v>50</v>
      </c>
      <c r="C29" s="10" t="s">
        <v>32</v>
      </c>
      <c r="D29" s="26">
        <v>1</v>
      </c>
      <c r="E29" s="12"/>
      <c r="F29" s="40"/>
    </row>
    <row r="30" spans="1:6" ht="15.5" thickBot="1" x14ac:dyDescent="0.4">
      <c r="A30" s="31"/>
      <c r="B30" s="28" t="s">
        <v>51</v>
      </c>
      <c r="C30" s="28"/>
      <c r="D30" s="28"/>
      <c r="E30" s="33"/>
      <c r="F30" s="33"/>
    </row>
    <row r="31" spans="1:6" ht="15.5" thickBot="1" x14ac:dyDescent="0.4">
      <c r="A31" s="145" t="s">
        <v>52</v>
      </c>
      <c r="B31" s="146"/>
      <c r="C31" s="34"/>
      <c r="D31" s="34"/>
      <c r="E31" s="35"/>
      <c r="F31" s="35"/>
    </row>
    <row r="32" spans="1:6" ht="15" thickBot="1" x14ac:dyDescent="0.4"/>
    <row r="33" spans="1:6" ht="16" thickBot="1" x14ac:dyDescent="0.4">
      <c r="A33" s="156" t="s">
        <v>58</v>
      </c>
      <c r="B33" s="157"/>
      <c r="C33" s="157"/>
      <c r="D33" s="157"/>
      <c r="E33" s="157"/>
      <c r="F33" s="158"/>
    </row>
    <row r="34" spans="1:6" ht="15.5" thickBot="1" x14ac:dyDescent="0.4">
      <c r="A34" s="150"/>
      <c r="B34" s="151"/>
      <c r="C34" s="151"/>
      <c r="D34" s="151"/>
      <c r="E34" s="151"/>
      <c r="F34" s="152"/>
    </row>
    <row r="35" spans="1:6" ht="15.5" thickBot="1" x14ac:dyDescent="0.4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3" t="s">
        <v>5</v>
      </c>
    </row>
    <row r="36" spans="1:6" ht="16" thickBot="1" x14ac:dyDescent="0.4">
      <c r="A36" s="4" t="s">
        <v>6</v>
      </c>
      <c r="B36" s="5" t="s">
        <v>7</v>
      </c>
      <c r="C36" s="6"/>
      <c r="D36" s="6"/>
      <c r="E36" s="6"/>
      <c r="F36" s="7"/>
    </row>
    <row r="37" spans="1:6" ht="47" thickBot="1" x14ac:dyDescent="0.4">
      <c r="A37" s="8" t="s">
        <v>8</v>
      </c>
      <c r="B37" s="9" t="s">
        <v>9</v>
      </c>
      <c r="C37" s="10" t="s">
        <v>10</v>
      </c>
      <c r="D37" s="11">
        <v>1</v>
      </c>
      <c r="E37" s="12"/>
      <c r="F37" s="13"/>
    </row>
    <row r="38" spans="1:6" ht="16" thickBot="1" x14ac:dyDescent="0.4">
      <c r="A38" s="8" t="s">
        <v>11</v>
      </c>
      <c r="B38" s="9" t="s">
        <v>12</v>
      </c>
      <c r="C38" s="10" t="s">
        <v>10</v>
      </c>
      <c r="D38" s="10">
        <v>1</v>
      </c>
      <c r="E38" s="12"/>
      <c r="F38" s="13"/>
    </row>
    <row r="39" spans="1:6" ht="16" thickBot="1" x14ac:dyDescent="0.4">
      <c r="A39" s="159" t="s">
        <v>13</v>
      </c>
      <c r="B39" s="160"/>
      <c r="C39" s="14"/>
      <c r="D39" s="14"/>
      <c r="E39" s="15"/>
      <c r="F39" s="16"/>
    </row>
    <row r="40" spans="1:6" ht="16" thickBot="1" x14ac:dyDescent="0.4">
      <c r="A40" s="4" t="s">
        <v>14</v>
      </c>
      <c r="B40" s="5" t="s">
        <v>15</v>
      </c>
      <c r="C40" s="6"/>
      <c r="D40" s="6"/>
      <c r="E40" s="17"/>
      <c r="F40" s="18"/>
    </row>
    <row r="41" spans="1:6" ht="39.5" thickBot="1" x14ac:dyDescent="0.4">
      <c r="A41" s="8" t="s">
        <v>16</v>
      </c>
      <c r="B41" s="9" t="s">
        <v>17</v>
      </c>
      <c r="C41" s="10" t="s">
        <v>18</v>
      </c>
      <c r="D41" s="10">
        <v>38</v>
      </c>
      <c r="E41" s="12"/>
      <c r="F41" s="13"/>
    </row>
    <row r="42" spans="1:6" ht="35.5" thickBot="1" x14ac:dyDescent="0.4">
      <c r="A42" s="8" t="s">
        <v>19</v>
      </c>
      <c r="B42" s="9" t="s">
        <v>20</v>
      </c>
      <c r="C42" s="10" t="s">
        <v>18</v>
      </c>
      <c r="D42" s="10">
        <f>150-D41</f>
        <v>112</v>
      </c>
      <c r="E42" s="12"/>
      <c r="F42" s="13"/>
    </row>
    <row r="43" spans="1:6" ht="16" thickBot="1" x14ac:dyDescent="0.4">
      <c r="A43" s="8" t="s">
        <v>21</v>
      </c>
      <c r="B43" s="9" t="s">
        <v>22</v>
      </c>
      <c r="C43" s="10" t="s">
        <v>18</v>
      </c>
      <c r="D43" s="10">
        <f>+D41</f>
        <v>38</v>
      </c>
      <c r="E43" s="12"/>
      <c r="F43" s="13"/>
    </row>
    <row r="44" spans="1:6" ht="16" thickBot="1" x14ac:dyDescent="0.4">
      <c r="A44" s="159" t="s">
        <v>23</v>
      </c>
      <c r="B44" s="160"/>
      <c r="C44" s="14"/>
      <c r="D44" s="14"/>
      <c r="E44" s="15"/>
      <c r="F44" s="16"/>
    </row>
    <row r="45" spans="1:6" ht="16" thickBot="1" x14ac:dyDescent="0.4">
      <c r="A45" s="4" t="s">
        <v>24</v>
      </c>
      <c r="B45" s="5" t="s">
        <v>25</v>
      </c>
      <c r="C45" s="6"/>
      <c r="D45" s="19"/>
      <c r="E45" s="17"/>
      <c r="F45" s="18"/>
    </row>
    <row r="46" spans="1:6" ht="47" thickBot="1" x14ac:dyDescent="0.4">
      <c r="A46" s="8" t="s">
        <v>26</v>
      </c>
      <c r="B46" s="9" t="s">
        <v>27</v>
      </c>
      <c r="C46" s="10" t="s">
        <v>18</v>
      </c>
      <c r="D46" s="10">
        <f>+D41</f>
        <v>38</v>
      </c>
      <c r="E46" s="12"/>
      <c r="F46" s="13"/>
    </row>
    <row r="47" spans="1:6" ht="62.5" thickBot="1" x14ac:dyDescent="0.4">
      <c r="A47" s="8" t="s">
        <v>28</v>
      </c>
      <c r="B47" s="20" t="s">
        <v>29</v>
      </c>
      <c r="C47" s="21" t="s">
        <v>18</v>
      </c>
      <c r="D47" s="21">
        <f>+D42</f>
        <v>112</v>
      </c>
      <c r="E47" s="22"/>
      <c r="F47" s="13"/>
    </row>
    <row r="48" spans="1:6" ht="31.5" thickBot="1" x14ac:dyDescent="0.4">
      <c r="A48" s="8" t="s">
        <v>30</v>
      </c>
      <c r="B48" s="23" t="s">
        <v>31</v>
      </c>
      <c r="C48" s="24" t="s">
        <v>32</v>
      </c>
      <c r="D48" s="24">
        <v>1</v>
      </c>
      <c r="E48" s="25"/>
      <c r="F48" s="13"/>
    </row>
    <row r="49" spans="1:6" ht="62.5" thickBot="1" x14ac:dyDescent="0.4">
      <c r="A49" s="8" t="s">
        <v>33</v>
      </c>
      <c r="B49" s="9" t="s">
        <v>34</v>
      </c>
      <c r="C49" s="10" t="s">
        <v>32</v>
      </c>
      <c r="D49" s="10">
        <v>1</v>
      </c>
      <c r="E49" s="12"/>
      <c r="F49" s="13"/>
    </row>
    <row r="50" spans="1:6" ht="62.5" thickBot="1" x14ac:dyDescent="0.4">
      <c r="A50" s="8" t="s">
        <v>35</v>
      </c>
      <c r="B50" s="9" t="s">
        <v>36</v>
      </c>
      <c r="C50" s="10" t="s">
        <v>32</v>
      </c>
      <c r="D50" s="26">
        <v>1</v>
      </c>
      <c r="E50" s="12"/>
      <c r="F50" s="13"/>
    </row>
    <row r="51" spans="1:6" ht="16" thickBot="1" x14ac:dyDescent="0.4">
      <c r="A51" s="8" t="s">
        <v>37</v>
      </c>
      <c r="B51" s="27" t="s">
        <v>38</v>
      </c>
      <c r="C51" s="10" t="s">
        <v>32</v>
      </c>
      <c r="D51" s="26">
        <v>1</v>
      </c>
      <c r="E51" s="12"/>
      <c r="F51" s="13"/>
    </row>
    <row r="52" spans="1:6" ht="15.5" thickBot="1" x14ac:dyDescent="0.4">
      <c r="A52" s="159" t="s">
        <v>39</v>
      </c>
      <c r="B52" s="160"/>
      <c r="C52" s="28"/>
      <c r="D52" s="28"/>
      <c r="E52" s="29"/>
      <c r="F52" s="16"/>
    </row>
    <row r="53" spans="1:6" ht="31.5" thickBot="1" x14ac:dyDescent="0.4">
      <c r="A53" s="4" t="s">
        <v>40</v>
      </c>
      <c r="B53" s="5" t="s">
        <v>41</v>
      </c>
      <c r="C53" s="6"/>
      <c r="D53" s="6"/>
      <c r="E53" s="17"/>
      <c r="F53" s="17"/>
    </row>
    <row r="54" spans="1:6" ht="16" thickBot="1" x14ac:dyDescent="0.4">
      <c r="A54" s="8" t="s">
        <v>42</v>
      </c>
      <c r="B54" s="9" t="s">
        <v>43</v>
      </c>
      <c r="C54" s="10" t="s">
        <v>44</v>
      </c>
      <c r="D54" s="26">
        <v>4</v>
      </c>
      <c r="E54" s="12"/>
      <c r="F54" s="30"/>
    </row>
    <row r="55" spans="1:6" ht="31.5" thickBot="1" x14ac:dyDescent="0.4">
      <c r="A55" s="8" t="s">
        <v>45</v>
      </c>
      <c r="B55" s="9" t="s">
        <v>46</v>
      </c>
      <c r="C55" s="10" t="s">
        <v>32</v>
      </c>
      <c r="D55" s="26">
        <v>1</v>
      </c>
      <c r="E55" s="12"/>
      <c r="F55" s="30"/>
    </row>
    <row r="56" spans="1:6" ht="16" thickBot="1" x14ac:dyDescent="0.4">
      <c r="A56" s="8" t="s">
        <v>47</v>
      </c>
      <c r="B56" s="9" t="s">
        <v>50</v>
      </c>
      <c r="C56" s="10" t="s">
        <v>32</v>
      </c>
      <c r="D56" s="26">
        <v>1</v>
      </c>
      <c r="E56" s="12"/>
      <c r="F56" s="30"/>
    </row>
    <row r="57" spans="1:6" ht="15.5" thickBot="1" x14ac:dyDescent="0.4">
      <c r="A57" s="31"/>
      <c r="B57" s="32" t="s">
        <v>51</v>
      </c>
      <c r="C57" s="28"/>
      <c r="D57" s="28"/>
      <c r="E57" s="33"/>
      <c r="F57" s="16"/>
    </row>
    <row r="58" spans="1:6" ht="15.5" thickBot="1" x14ac:dyDescent="0.4">
      <c r="A58" s="145" t="s">
        <v>52</v>
      </c>
      <c r="B58" s="146"/>
      <c r="C58" s="34"/>
      <c r="D58" s="34"/>
      <c r="E58" s="35"/>
      <c r="F58" s="36"/>
    </row>
    <row r="60" spans="1:6" ht="15" thickBot="1" x14ac:dyDescent="0.4"/>
    <row r="61" spans="1:6" ht="16" thickBot="1" x14ac:dyDescent="0.4">
      <c r="A61" s="156" t="s">
        <v>59</v>
      </c>
      <c r="B61" s="157"/>
      <c r="C61" s="157"/>
      <c r="D61" s="157"/>
      <c r="E61" s="157"/>
      <c r="F61" s="158"/>
    </row>
    <row r="62" spans="1:6" ht="15.5" thickBot="1" x14ac:dyDescent="0.4">
      <c r="A62" s="150"/>
      <c r="B62" s="151"/>
      <c r="C62" s="151"/>
      <c r="D62" s="151"/>
      <c r="E62" s="151"/>
      <c r="F62" s="152"/>
    </row>
    <row r="63" spans="1:6" ht="15.5" thickBot="1" x14ac:dyDescent="0.4">
      <c r="A63" s="1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3" t="s">
        <v>5</v>
      </c>
    </row>
    <row r="64" spans="1:6" ht="16" thickBot="1" x14ac:dyDescent="0.4">
      <c r="A64" s="4" t="s">
        <v>6</v>
      </c>
      <c r="B64" s="5" t="s">
        <v>7</v>
      </c>
      <c r="C64" s="6"/>
      <c r="D64" s="6"/>
      <c r="E64" s="6"/>
      <c r="F64" s="7"/>
    </row>
    <row r="65" spans="1:6" ht="47" thickBot="1" x14ac:dyDescent="0.4">
      <c r="A65" s="8" t="s">
        <v>8</v>
      </c>
      <c r="B65" s="9" t="s">
        <v>9</v>
      </c>
      <c r="C65" s="10" t="s">
        <v>10</v>
      </c>
      <c r="D65" s="11">
        <v>1</v>
      </c>
      <c r="E65" s="12"/>
      <c r="F65" s="13"/>
    </row>
    <row r="66" spans="1:6" ht="16" thickBot="1" x14ac:dyDescent="0.4">
      <c r="A66" s="8" t="s">
        <v>11</v>
      </c>
      <c r="B66" s="9" t="s">
        <v>12</v>
      </c>
      <c r="C66" s="10" t="s">
        <v>10</v>
      </c>
      <c r="D66" s="10">
        <v>1</v>
      </c>
      <c r="E66" s="12"/>
      <c r="F66" s="13"/>
    </row>
    <row r="67" spans="1:6" ht="16" thickBot="1" x14ac:dyDescent="0.4">
      <c r="A67" s="159" t="s">
        <v>13</v>
      </c>
      <c r="B67" s="160"/>
      <c r="C67" s="14"/>
      <c r="D67" s="14"/>
      <c r="E67" s="15"/>
      <c r="F67" s="16"/>
    </row>
    <row r="68" spans="1:6" ht="16" thickBot="1" x14ac:dyDescent="0.4">
      <c r="A68" s="4" t="s">
        <v>14</v>
      </c>
      <c r="B68" s="5" t="s">
        <v>15</v>
      </c>
      <c r="C68" s="6"/>
      <c r="D68" s="6"/>
      <c r="E68" s="17"/>
      <c r="F68" s="18"/>
    </row>
    <row r="69" spans="1:6" ht="39.5" thickBot="1" x14ac:dyDescent="0.4">
      <c r="A69" s="8" t="s">
        <v>16</v>
      </c>
      <c r="B69" s="9" t="s">
        <v>17</v>
      </c>
      <c r="C69" s="10" t="s">
        <v>18</v>
      </c>
      <c r="D69" s="10">
        <v>42</v>
      </c>
      <c r="E69" s="12"/>
      <c r="F69" s="13"/>
    </row>
    <row r="70" spans="1:6" ht="35.5" thickBot="1" x14ac:dyDescent="0.4">
      <c r="A70" s="8" t="s">
        <v>19</v>
      </c>
      <c r="B70" s="9" t="s">
        <v>20</v>
      </c>
      <c r="C70" s="10" t="s">
        <v>18</v>
      </c>
      <c r="D70" s="10">
        <f>150-D69</f>
        <v>108</v>
      </c>
      <c r="E70" s="12"/>
      <c r="F70" s="13"/>
    </row>
    <row r="71" spans="1:6" ht="16" thickBot="1" x14ac:dyDescent="0.4">
      <c r="A71" s="8" t="s">
        <v>21</v>
      </c>
      <c r="B71" s="9" t="s">
        <v>22</v>
      </c>
      <c r="C71" s="10" t="s">
        <v>18</v>
      </c>
      <c r="D71" s="10">
        <f>+D69</f>
        <v>42</v>
      </c>
      <c r="E71" s="12"/>
      <c r="F71" s="13"/>
    </row>
    <row r="72" spans="1:6" ht="16" thickBot="1" x14ac:dyDescent="0.4">
      <c r="A72" s="159" t="s">
        <v>23</v>
      </c>
      <c r="B72" s="160"/>
      <c r="C72" s="14"/>
      <c r="D72" s="14"/>
      <c r="E72" s="15"/>
      <c r="F72" s="16"/>
    </row>
    <row r="73" spans="1:6" ht="16" thickBot="1" x14ac:dyDescent="0.4">
      <c r="A73" s="4" t="s">
        <v>24</v>
      </c>
      <c r="B73" s="5" t="s">
        <v>25</v>
      </c>
      <c r="C73" s="6"/>
      <c r="D73" s="19"/>
      <c r="E73" s="17"/>
      <c r="F73" s="18"/>
    </row>
    <row r="74" spans="1:6" ht="47" thickBot="1" x14ac:dyDescent="0.4">
      <c r="A74" s="8" t="s">
        <v>26</v>
      </c>
      <c r="B74" s="9" t="s">
        <v>27</v>
      </c>
      <c r="C74" s="10" t="s">
        <v>18</v>
      </c>
      <c r="D74" s="10">
        <f>+D69</f>
        <v>42</v>
      </c>
      <c r="E74" s="12"/>
      <c r="F74" s="13"/>
    </row>
    <row r="75" spans="1:6" ht="62.5" thickBot="1" x14ac:dyDescent="0.4">
      <c r="A75" s="8" t="s">
        <v>28</v>
      </c>
      <c r="B75" s="20" t="s">
        <v>29</v>
      </c>
      <c r="C75" s="21" t="s">
        <v>18</v>
      </c>
      <c r="D75" s="21">
        <f>+D70</f>
        <v>108</v>
      </c>
      <c r="E75" s="22"/>
      <c r="F75" s="13"/>
    </row>
    <row r="76" spans="1:6" ht="31.5" thickBot="1" x14ac:dyDescent="0.4">
      <c r="A76" s="8" t="s">
        <v>30</v>
      </c>
      <c r="B76" s="23" t="s">
        <v>31</v>
      </c>
      <c r="C76" s="24" t="s">
        <v>32</v>
      </c>
      <c r="D76" s="24">
        <v>1</v>
      </c>
      <c r="E76" s="25"/>
      <c r="F76" s="13"/>
    </row>
    <row r="77" spans="1:6" ht="62.5" thickBot="1" x14ac:dyDescent="0.4">
      <c r="A77" s="8" t="s">
        <v>33</v>
      </c>
      <c r="B77" s="9" t="s">
        <v>34</v>
      </c>
      <c r="C77" s="10" t="s">
        <v>32</v>
      </c>
      <c r="D77" s="10">
        <v>1</v>
      </c>
      <c r="E77" s="12"/>
      <c r="F77" s="13"/>
    </row>
    <row r="78" spans="1:6" ht="62.5" thickBot="1" x14ac:dyDescent="0.4">
      <c r="A78" s="8" t="s">
        <v>35</v>
      </c>
      <c r="B78" s="9" t="s">
        <v>36</v>
      </c>
      <c r="C78" s="10" t="s">
        <v>32</v>
      </c>
      <c r="D78" s="26">
        <v>1</v>
      </c>
      <c r="E78" s="12"/>
      <c r="F78" s="13"/>
    </row>
    <row r="79" spans="1:6" ht="16" thickBot="1" x14ac:dyDescent="0.4">
      <c r="A79" s="8" t="s">
        <v>37</v>
      </c>
      <c r="B79" s="27" t="s">
        <v>38</v>
      </c>
      <c r="C79" s="10" t="s">
        <v>32</v>
      </c>
      <c r="D79" s="26">
        <v>1</v>
      </c>
      <c r="E79" s="12"/>
      <c r="F79" s="13"/>
    </row>
    <row r="80" spans="1:6" ht="15.5" thickBot="1" x14ac:dyDescent="0.4">
      <c r="A80" s="159" t="s">
        <v>39</v>
      </c>
      <c r="B80" s="160"/>
      <c r="C80" s="28"/>
      <c r="D80" s="28"/>
      <c r="E80" s="29"/>
      <c r="F80" s="16"/>
    </row>
    <row r="81" spans="1:6" ht="31.5" thickBot="1" x14ac:dyDescent="0.4">
      <c r="A81" s="4" t="s">
        <v>40</v>
      </c>
      <c r="B81" s="5" t="s">
        <v>41</v>
      </c>
      <c r="C81" s="6"/>
      <c r="D81" s="6"/>
      <c r="E81" s="17"/>
      <c r="F81" s="17"/>
    </row>
    <row r="82" spans="1:6" ht="16" thickBot="1" x14ac:dyDescent="0.4">
      <c r="A82" s="8" t="s">
        <v>42</v>
      </c>
      <c r="B82" s="9" t="s">
        <v>43</v>
      </c>
      <c r="C82" s="10" t="s">
        <v>44</v>
      </c>
      <c r="D82" s="26">
        <v>4</v>
      </c>
      <c r="E82" s="12"/>
      <c r="F82" s="30"/>
    </row>
    <row r="83" spans="1:6" ht="31.5" thickBot="1" x14ac:dyDescent="0.4">
      <c r="A83" s="8" t="s">
        <v>45</v>
      </c>
      <c r="B83" s="9" t="s">
        <v>46</v>
      </c>
      <c r="C83" s="10" t="s">
        <v>32</v>
      </c>
      <c r="D83" s="26">
        <v>1</v>
      </c>
      <c r="E83" s="12"/>
      <c r="F83" s="30"/>
    </row>
    <row r="84" spans="1:6" ht="16" thickBot="1" x14ac:dyDescent="0.4">
      <c r="A84" s="8" t="s">
        <v>47</v>
      </c>
      <c r="B84" s="9" t="s">
        <v>50</v>
      </c>
      <c r="C84" s="10" t="s">
        <v>32</v>
      </c>
      <c r="D84" s="26">
        <v>1</v>
      </c>
      <c r="E84" s="12"/>
      <c r="F84" s="30"/>
    </row>
    <row r="85" spans="1:6" ht="15.5" thickBot="1" x14ac:dyDescent="0.4">
      <c r="A85" s="31"/>
      <c r="B85" s="32" t="s">
        <v>51</v>
      </c>
      <c r="C85" s="28"/>
      <c r="D85" s="28"/>
      <c r="E85" s="33"/>
      <c r="F85" s="16"/>
    </row>
    <row r="86" spans="1:6" ht="15.5" thickBot="1" x14ac:dyDescent="0.4">
      <c r="A86" s="145" t="s">
        <v>52</v>
      </c>
      <c r="B86" s="146"/>
      <c r="C86" s="34"/>
      <c r="D86" s="34"/>
      <c r="E86" s="35"/>
      <c r="F86" s="36"/>
    </row>
    <row r="88" spans="1:6" ht="15" thickBot="1" x14ac:dyDescent="0.4"/>
    <row r="89" spans="1:6" ht="15.5" thickBot="1" x14ac:dyDescent="0.4">
      <c r="A89" s="161" t="s">
        <v>66</v>
      </c>
      <c r="B89" s="162"/>
      <c r="C89" s="162"/>
      <c r="D89" s="162"/>
      <c r="E89" s="162"/>
      <c r="F89" s="163"/>
    </row>
    <row r="91" spans="1:6" ht="15" x14ac:dyDescent="0.35">
      <c r="A91" s="57" t="s">
        <v>0</v>
      </c>
      <c r="B91" s="57" t="s">
        <v>62</v>
      </c>
      <c r="C91" s="57" t="s">
        <v>2</v>
      </c>
      <c r="D91" s="57" t="s">
        <v>3</v>
      </c>
      <c r="E91" s="57" t="s">
        <v>4</v>
      </c>
      <c r="F91" s="58" t="s">
        <v>5</v>
      </c>
    </row>
    <row r="92" spans="1:6" ht="15.5" x14ac:dyDescent="0.35">
      <c r="A92" s="59">
        <v>1</v>
      </c>
      <c r="B92" s="59" t="str">
        <f>+A6</f>
        <v>Diéni</v>
      </c>
      <c r="C92" s="60" t="s">
        <v>63</v>
      </c>
      <c r="D92" s="60">
        <v>2</v>
      </c>
      <c r="E92" s="59"/>
      <c r="F92" s="59"/>
    </row>
    <row r="93" spans="1:6" ht="15.5" x14ac:dyDescent="0.35">
      <c r="A93" s="59">
        <v>2</v>
      </c>
      <c r="B93" s="59" t="str">
        <f>+A33</f>
        <v>Fassoumbougou</v>
      </c>
      <c r="C93" s="60" t="s">
        <v>63</v>
      </c>
      <c r="D93" s="60">
        <v>2</v>
      </c>
      <c r="E93" s="59"/>
      <c r="F93" s="59"/>
    </row>
    <row r="94" spans="1:6" ht="15.5" x14ac:dyDescent="0.35">
      <c r="A94" s="59">
        <v>3</v>
      </c>
      <c r="B94" s="59" t="str">
        <f>+A61</f>
        <v>Tamani bassala</v>
      </c>
      <c r="C94" s="60" t="s">
        <v>63</v>
      </c>
      <c r="D94" s="60">
        <v>2</v>
      </c>
      <c r="E94" s="59"/>
      <c r="F94" s="59"/>
    </row>
  </sheetData>
  <mergeCells count="24">
    <mergeCell ref="A89:F89"/>
    <mergeCell ref="A61:F61"/>
    <mergeCell ref="A62:F62"/>
    <mergeCell ref="A67:B67"/>
    <mergeCell ref="A72:B72"/>
    <mergeCell ref="A80:B80"/>
    <mergeCell ref="A86:B86"/>
    <mergeCell ref="A58:B58"/>
    <mergeCell ref="A6:F6"/>
    <mergeCell ref="A7:F7"/>
    <mergeCell ref="A12:B12"/>
    <mergeCell ref="A17:B17"/>
    <mergeCell ref="A25:B25"/>
    <mergeCell ref="A31:B31"/>
    <mergeCell ref="A33:F33"/>
    <mergeCell ref="A34:F34"/>
    <mergeCell ref="A39:B39"/>
    <mergeCell ref="A44:B44"/>
    <mergeCell ref="A52:B52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F881-72CB-452A-9BF7-AF157DE67530}">
  <dimension ref="A1:I97"/>
  <sheetViews>
    <sheetView topLeftCell="A85" workbookViewId="0">
      <selection activeCell="I72" sqref="I72"/>
    </sheetView>
  </sheetViews>
  <sheetFormatPr baseColWidth="10" defaultRowHeight="14.5" x14ac:dyDescent="0.35"/>
  <cols>
    <col min="2" max="2" width="43.54296875" customWidth="1"/>
    <col min="9" max="9" width="14.54296875" bestFit="1" customWidth="1"/>
  </cols>
  <sheetData>
    <row r="1" spans="1:6" ht="71.400000000000006" customHeight="1" thickBot="1" x14ac:dyDescent="0.4">
      <c r="A1" s="147" t="s">
        <v>283</v>
      </c>
      <c r="B1" s="148"/>
      <c r="C1" s="148"/>
      <c r="D1" s="148"/>
      <c r="E1" s="148"/>
      <c r="F1" s="149"/>
    </row>
    <row r="2" spans="1:6" ht="15.5" thickBot="1" x14ac:dyDescent="0.4">
      <c r="A2" s="150"/>
      <c r="B2" s="151"/>
      <c r="C2" s="151"/>
      <c r="D2" s="151"/>
      <c r="E2" s="151"/>
      <c r="F2" s="152"/>
    </row>
    <row r="3" spans="1:6" ht="16" thickBot="1" x14ac:dyDescent="0.4">
      <c r="A3" s="153" t="s">
        <v>269</v>
      </c>
      <c r="B3" s="154"/>
      <c r="C3" s="154"/>
      <c r="D3" s="154"/>
      <c r="E3" s="154"/>
      <c r="F3" s="155"/>
    </row>
    <row r="4" spans="1:6" ht="15.5" thickBot="1" x14ac:dyDescent="0.4">
      <c r="A4" s="150"/>
      <c r="B4" s="151"/>
      <c r="C4" s="151"/>
      <c r="D4" s="151"/>
      <c r="E4" s="151"/>
      <c r="F4" s="152"/>
    </row>
    <row r="5" spans="1:6" ht="16" thickBot="1" x14ac:dyDescent="0.4">
      <c r="A5" s="153" t="s">
        <v>270</v>
      </c>
      <c r="B5" s="154"/>
      <c r="C5" s="154"/>
      <c r="D5" s="154"/>
      <c r="E5" s="154"/>
      <c r="F5" s="155"/>
    </row>
    <row r="6" spans="1:6" ht="16" thickBot="1" x14ac:dyDescent="0.4">
      <c r="A6" s="156" t="s">
        <v>267</v>
      </c>
      <c r="B6" s="157"/>
      <c r="C6" s="157"/>
      <c r="D6" s="157"/>
      <c r="E6" s="157"/>
      <c r="F6" s="158"/>
    </row>
    <row r="7" spans="1:6" ht="15.5" thickBot="1" x14ac:dyDescent="0.4">
      <c r="A7" s="150"/>
      <c r="B7" s="151"/>
      <c r="C7" s="151"/>
      <c r="D7" s="151"/>
      <c r="E7" s="151"/>
      <c r="F7" s="152"/>
    </row>
    <row r="8" spans="1:6" ht="15.5" thickBot="1" x14ac:dyDescent="0.4">
      <c r="A8" s="41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</row>
    <row r="9" spans="1:6" ht="16" thickBot="1" x14ac:dyDescent="0.4">
      <c r="A9" s="42" t="s">
        <v>6</v>
      </c>
      <c r="B9" s="37" t="s">
        <v>7</v>
      </c>
      <c r="C9" s="7"/>
      <c r="D9" s="7"/>
      <c r="E9" s="7"/>
      <c r="F9" s="7"/>
    </row>
    <row r="10" spans="1:6" ht="47" thickBot="1" x14ac:dyDescent="0.4">
      <c r="A10" s="43" t="s">
        <v>8</v>
      </c>
      <c r="B10" s="9" t="s">
        <v>9</v>
      </c>
      <c r="C10" s="44" t="s">
        <v>10</v>
      </c>
      <c r="D10" s="45">
        <v>1</v>
      </c>
      <c r="E10" s="13"/>
      <c r="F10" s="13"/>
    </row>
    <row r="11" spans="1:6" ht="16" thickBot="1" x14ac:dyDescent="0.4">
      <c r="A11" s="43" t="s">
        <v>11</v>
      </c>
      <c r="B11" s="9" t="s">
        <v>12</v>
      </c>
      <c r="C11" s="44" t="s">
        <v>10</v>
      </c>
      <c r="D11" s="44">
        <v>1</v>
      </c>
      <c r="E11" s="13"/>
      <c r="F11" s="13"/>
    </row>
    <row r="12" spans="1:6" ht="16" thickBot="1" x14ac:dyDescent="0.4">
      <c r="A12" s="170" t="s">
        <v>13</v>
      </c>
      <c r="B12" s="171"/>
      <c r="C12" s="46"/>
      <c r="D12" s="46"/>
      <c r="E12" s="47"/>
      <c r="F12" s="16"/>
    </row>
    <row r="13" spans="1:6" ht="16" thickBot="1" x14ac:dyDescent="0.4">
      <c r="A13" s="42" t="s">
        <v>14</v>
      </c>
      <c r="B13" s="37" t="s">
        <v>15</v>
      </c>
      <c r="C13" s="7"/>
      <c r="D13" s="7"/>
      <c r="E13" s="18"/>
      <c r="F13" s="18"/>
    </row>
    <row r="14" spans="1:6" ht="39.5" thickBot="1" x14ac:dyDescent="0.4">
      <c r="A14" s="43" t="s">
        <v>16</v>
      </c>
      <c r="B14" s="9" t="s">
        <v>17</v>
      </c>
      <c r="C14" s="44" t="s">
        <v>18</v>
      </c>
      <c r="D14" s="44">
        <v>50</v>
      </c>
      <c r="E14" s="13"/>
      <c r="F14" s="13"/>
    </row>
    <row r="15" spans="1:6" ht="35.5" thickBot="1" x14ac:dyDescent="0.4">
      <c r="A15" s="43" t="s">
        <v>19</v>
      </c>
      <c r="B15" s="9" t="s">
        <v>20</v>
      </c>
      <c r="C15" s="44" t="s">
        <v>18</v>
      </c>
      <c r="D15" s="44">
        <f>150-D14</f>
        <v>100</v>
      </c>
      <c r="E15" s="13"/>
      <c r="F15" s="13"/>
    </row>
    <row r="16" spans="1:6" ht="16" thickBot="1" x14ac:dyDescent="0.4">
      <c r="A16" s="43" t="s">
        <v>21</v>
      </c>
      <c r="B16" s="9" t="s">
        <v>22</v>
      </c>
      <c r="C16" s="44" t="s">
        <v>18</v>
      </c>
      <c r="D16" s="44">
        <f>+D14</f>
        <v>50</v>
      </c>
      <c r="E16" s="13"/>
      <c r="F16" s="13"/>
    </row>
    <row r="17" spans="1:6" ht="16" thickBot="1" x14ac:dyDescent="0.4">
      <c r="A17" s="170" t="s">
        <v>23</v>
      </c>
      <c r="B17" s="171"/>
      <c r="C17" s="46"/>
      <c r="D17" s="46"/>
      <c r="E17" s="47"/>
      <c r="F17" s="16"/>
    </row>
    <row r="18" spans="1:6" ht="16" thickBot="1" x14ac:dyDescent="0.4">
      <c r="A18" s="42" t="s">
        <v>24</v>
      </c>
      <c r="B18" s="37" t="s">
        <v>25</v>
      </c>
      <c r="C18" s="7"/>
      <c r="D18" s="48"/>
      <c r="E18" s="18"/>
      <c r="F18" s="18"/>
    </row>
    <row r="19" spans="1:6" ht="47" thickBot="1" x14ac:dyDescent="0.4">
      <c r="A19" s="43" t="s">
        <v>26</v>
      </c>
      <c r="B19" s="9" t="s">
        <v>27</v>
      </c>
      <c r="C19" s="44" t="s">
        <v>18</v>
      </c>
      <c r="D19" s="44">
        <f>+D14</f>
        <v>50</v>
      </c>
      <c r="E19" s="13"/>
      <c r="F19" s="13"/>
    </row>
    <row r="20" spans="1:6" ht="62.5" thickBot="1" x14ac:dyDescent="0.4">
      <c r="A20" s="43" t="s">
        <v>28</v>
      </c>
      <c r="B20" s="20" t="s">
        <v>29</v>
      </c>
      <c r="C20" s="49" t="s">
        <v>18</v>
      </c>
      <c r="D20" s="49">
        <f>+D15</f>
        <v>100</v>
      </c>
      <c r="E20" s="50"/>
      <c r="F20" s="13"/>
    </row>
    <row r="21" spans="1:6" ht="31.5" thickBot="1" x14ac:dyDescent="0.4">
      <c r="A21" s="43" t="s">
        <v>30</v>
      </c>
      <c r="B21" s="23" t="s">
        <v>31</v>
      </c>
      <c r="C21" s="51" t="s">
        <v>32</v>
      </c>
      <c r="D21" s="51">
        <v>1</v>
      </c>
      <c r="E21" s="52"/>
      <c r="F21" s="13"/>
    </row>
    <row r="22" spans="1:6" ht="62.5" thickBot="1" x14ac:dyDescent="0.4">
      <c r="A22" s="43" t="s">
        <v>33</v>
      </c>
      <c r="B22" s="9" t="s">
        <v>34</v>
      </c>
      <c r="C22" s="44" t="s">
        <v>32</v>
      </c>
      <c r="D22" s="44">
        <v>1</v>
      </c>
      <c r="E22" s="13"/>
      <c r="F22" s="13"/>
    </row>
    <row r="23" spans="1:6" ht="62.5" thickBot="1" x14ac:dyDescent="0.4">
      <c r="A23" s="43" t="s">
        <v>35</v>
      </c>
      <c r="B23" s="9" t="s">
        <v>36</v>
      </c>
      <c r="C23" s="44" t="s">
        <v>32</v>
      </c>
      <c r="D23" s="53">
        <v>1</v>
      </c>
      <c r="E23" s="13"/>
      <c r="F23" s="13"/>
    </row>
    <row r="24" spans="1:6" ht="16" thickBot="1" x14ac:dyDescent="0.4">
      <c r="A24" s="43" t="s">
        <v>37</v>
      </c>
      <c r="B24" s="9" t="s">
        <v>38</v>
      </c>
      <c r="C24" s="44" t="s">
        <v>32</v>
      </c>
      <c r="D24" s="53">
        <v>1</v>
      </c>
      <c r="E24" s="13"/>
      <c r="F24" s="13"/>
    </row>
    <row r="25" spans="1:6" ht="15.5" thickBot="1" x14ac:dyDescent="0.4">
      <c r="A25" s="170" t="s">
        <v>39</v>
      </c>
      <c r="B25" s="171"/>
      <c r="C25" s="32"/>
      <c r="D25" s="32"/>
      <c r="E25" s="54"/>
      <c r="F25" s="16"/>
    </row>
    <row r="26" spans="1:6" ht="31.5" thickBot="1" x14ac:dyDescent="0.4">
      <c r="A26" s="42" t="s">
        <v>40</v>
      </c>
      <c r="B26" s="37" t="s">
        <v>41</v>
      </c>
      <c r="C26" s="7"/>
      <c r="D26" s="7"/>
      <c r="E26" s="18"/>
      <c r="F26" s="18"/>
    </row>
    <row r="27" spans="1:6" ht="16" thickBot="1" x14ac:dyDescent="0.4">
      <c r="A27" s="43" t="s">
        <v>42</v>
      </c>
      <c r="B27" s="9" t="s">
        <v>43</v>
      </c>
      <c r="C27" s="44" t="s">
        <v>44</v>
      </c>
      <c r="D27" s="53">
        <v>4</v>
      </c>
      <c r="E27" s="13"/>
      <c r="F27" s="30"/>
    </row>
    <row r="28" spans="1:6" ht="31.5" thickBot="1" x14ac:dyDescent="0.4">
      <c r="A28" s="43" t="s">
        <v>45</v>
      </c>
      <c r="B28" s="9" t="s">
        <v>46</v>
      </c>
      <c r="C28" s="44" t="s">
        <v>32</v>
      </c>
      <c r="D28" s="53">
        <v>1</v>
      </c>
      <c r="E28" s="13"/>
      <c r="F28" s="30"/>
    </row>
    <row r="29" spans="1:6" ht="31.5" thickBot="1" x14ac:dyDescent="0.4">
      <c r="A29" s="43" t="s">
        <v>47</v>
      </c>
      <c r="B29" s="9" t="s">
        <v>48</v>
      </c>
      <c r="C29" s="44" t="s">
        <v>32</v>
      </c>
      <c r="D29" s="53">
        <v>1</v>
      </c>
      <c r="E29" s="13"/>
      <c r="F29" s="30"/>
    </row>
    <row r="30" spans="1:6" ht="31.5" thickBot="1" x14ac:dyDescent="0.4">
      <c r="A30" s="43" t="s">
        <v>49</v>
      </c>
      <c r="B30" s="9" t="s">
        <v>50</v>
      </c>
      <c r="C30" s="44" t="s">
        <v>32</v>
      </c>
      <c r="D30" s="53">
        <v>1</v>
      </c>
      <c r="E30" s="13"/>
      <c r="F30" s="30"/>
    </row>
    <row r="31" spans="1:6" ht="15.5" thickBot="1" x14ac:dyDescent="0.4">
      <c r="A31" s="55"/>
      <c r="B31" s="32" t="s">
        <v>51</v>
      </c>
      <c r="C31" s="32"/>
      <c r="D31" s="32"/>
      <c r="E31" s="16"/>
      <c r="F31" s="16"/>
    </row>
    <row r="32" spans="1:6" ht="15.5" thickBot="1" x14ac:dyDescent="0.4">
      <c r="A32" s="172" t="s">
        <v>52</v>
      </c>
      <c r="B32" s="173"/>
      <c r="C32" s="56"/>
      <c r="D32" s="56"/>
      <c r="E32" s="36"/>
      <c r="F32" s="36"/>
    </row>
    <row r="34" spans="1:6" ht="15" thickBot="1" x14ac:dyDescent="0.4"/>
    <row r="35" spans="1:6" ht="16" thickBot="1" x14ac:dyDescent="0.4">
      <c r="A35" s="156" t="s">
        <v>60</v>
      </c>
      <c r="B35" s="157"/>
      <c r="C35" s="157"/>
      <c r="D35" s="157"/>
      <c r="E35" s="157"/>
      <c r="F35" s="158"/>
    </row>
    <row r="36" spans="1:6" ht="15.5" thickBot="1" x14ac:dyDescent="0.4">
      <c r="A36" s="150"/>
      <c r="B36" s="151"/>
      <c r="C36" s="151"/>
      <c r="D36" s="151"/>
      <c r="E36" s="151"/>
      <c r="F36" s="152"/>
    </row>
    <row r="37" spans="1:6" ht="15.5" thickBot="1" x14ac:dyDescent="0.4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3" t="s">
        <v>5</v>
      </c>
    </row>
    <row r="38" spans="1:6" ht="16" thickBot="1" x14ac:dyDescent="0.4">
      <c r="A38" s="4" t="s">
        <v>6</v>
      </c>
      <c r="B38" s="5" t="s">
        <v>7</v>
      </c>
      <c r="C38" s="6"/>
      <c r="D38" s="6"/>
      <c r="E38" s="6"/>
      <c r="F38" s="7"/>
    </row>
    <row r="39" spans="1:6" ht="47" thickBot="1" x14ac:dyDescent="0.4">
      <c r="A39" s="8" t="s">
        <v>8</v>
      </c>
      <c r="B39" s="9" t="s">
        <v>9</v>
      </c>
      <c r="C39" s="10" t="s">
        <v>10</v>
      </c>
      <c r="D39" s="11">
        <v>1</v>
      </c>
      <c r="E39" s="12"/>
      <c r="F39" s="13"/>
    </row>
    <row r="40" spans="1:6" ht="16" thickBot="1" x14ac:dyDescent="0.4">
      <c r="A40" s="8" t="s">
        <v>11</v>
      </c>
      <c r="B40" s="9" t="s">
        <v>12</v>
      </c>
      <c r="C40" s="10" t="s">
        <v>10</v>
      </c>
      <c r="D40" s="10">
        <v>1</v>
      </c>
      <c r="E40" s="12"/>
      <c r="F40" s="13"/>
    </row>
    <row r="41" spans="1:6" ht="16" thickBot="1" x14ac:dyDescent="0.4">
      <c r="A41" s="159" t="s">
        <v>13</v>
      </c>
      <c r="B41" s="160"/>
      <c r="C41" s="14"/>
      <c r="D41" s="14"/>
      <c r="E41" s="15"/>
      <c r="F41" s="16"/>
    </row>
    <row r="42" spans="1:6" ht="16" thickBot="1" x14ac:dyDescent="0.4">
      <c r="A42" s="4" t="s">
        <v>14</v>
      </c>
      <c r="B42" s="5" t="s">
        <v>15</v>
      </c>
      <c r="C42" s="6"/>
      <c r="D42" s="6"/>
      <c r="E42" s="17"/>
      <c r="F42" s="18"/>
    </row>
    <row r="43" spans="1:6" ht="39.5" thickBot="1" x14ac:dyDescent="0.4">
      <c r="A43" s="8" t="s">
        <v>16</v>
      </c>
      <c r="B43" s="9" t="s">
        <v>17</v>
      </c>
      <c r="C43" s="10" t="s">
        <v>18</v>
      </c>
      <c r="D43" s="10">
        <v>43</v>
      </c>
      <c r="E43" s="12"/>
      <c r="F43" s="13"/>
    </row>
    <row r="44" spans="1:6" ht="35.5" thickBot="1" x14ac:dyDescent="0.4">
      <c r="A44" s="8" t="s">
        <v>19</v>
      </c>
      <c r="B44" s="9" t="s">
        <v>20</v>
      </c>
      <c r="C44" s="10" t="s">
        <v>18</v>
      </c>
      <c r="D44" s="10">
        <f>150-D43</f>
        <v>107</v>
      </c>
      <c r="E44" s="12"/>
      <c r="F44" s="13"/>
    </row>
    <row r="45" spans="1:6" ht="16" thickBot="1" x14ac:dyDescent="0.4">
      <c r="A45" s="8" t="s">
        <v>21</v>
      </c>
      <c r="B45" s="9" t="s">
        <v>22</v>
      </c>
      <c r="C45" s="10" t="s">
        <v>18</v>
      </c>
      <c r="D45" s="10">
        <f>+D43</f>
        <v>43</v>
      </c>
      <c r="E45" s="12"/>
      <c r="F45" s="13"/>
    </row>
    <row r="46" spans="1:6" ht="16" thickBot="1" x14ac:dyDescent="0.4">
      <c r="A46" s="159" t="s">
        <v>23</v>
      </c>
      <c r="B46" s="160"/>
      <c r="C46" s="14"/>
      <c r="D46" s="14"/>
      <c r="E46" s="15"/>
      <c r="F46" s="16"/>
    </row>
    <row r="47" spans="1:6" ht="16" thickBot="1" x14ac:dyDescent="0.4">
      <c r="A47" s="4" t="s">
        <v>24</v>
      </c>
      <c r="B47" s="5" t="s">
        <v>25</v>
      </c>
      <c r="C47" s="6"/>
      <c r="D47" s="19"/>
      <c r="E47" s="17"/>
      <c r="F47" s="18"/>
    </row>
    <row r="48" spans="1:6" ht="47" thickBot="1" x14ac:dyDescent="0.4">
      <c r="A48" s="8" t="s">
        <v>26</v>
      </c>
      <c r="B48" s="9" t="s">
        <v>27</v>
      </c>
      <c r="C48" s="10" t="s">
        <v>18</v>
      </c>
      <c r="D48" s="10">
        <f>+D43</f>
        <v>43</v>
      </c>
      <c r="E48" s="12"/>
      <c r="F48" s="13"/>
    </row>
    <row r="49" spans="1:6" ht="62.5" thickBot="1" x14ac:dyDescent="0.4">
      <c r="A49" s="8" t="s">
        <v>28</v>
      </c>
      <c r="B49" s="20" t="s">
        <v>29</v>
      </c>
      <c r="C49" s="21" t="s">
        <v>18</v>
      </c>
      <c r="D49" s="21">
        <f>+D44</f>
        <v>107</v>
      </c>
      <c r="E49" s="22"/>
      <c r="F49" s="13"/>
    </row>
    <row r="50" spans="1:6" ht="31.5" thickBot="1" x14ac:dyDescent="0.4">
      <c r="A50" s="8" t="s">
        <v>30</v>
      </c>
      <c r="B50" s="23" t="s">
        <v>31</v>
      </c>
      <c r="C50" s="24" t="s">
        <v>32</v>
      </c>
      <c r="D50" s="24">
        <v>1</v>
      </c>
      <c r="E50" s="25"/>
      <c r="F50" s="13"/>
    </row>
    <row r="51" spans="1:6" ht="62.5" thickBot="1" x14ac:dyDescent="0.4">
      <c r="A51" s="8" t="s">
        <v>33</v>
      </c>
      <c r="B51" s="9" t="s">
        <v>34</v>
      </c>
      <c r="C51" s="10" t="s">
        <v>32</v>
      </c>
      <c r="D51" s="10">
        <v>1</v>
      </c>
      <c r="E51" s="12"/>
      <c r="F51" s="13"/>
    </row>
    <row r="52" spans="1:6" ht="62.5" thickBot="1" x14ac:dyDescent="0.4">
      <c r="A52" s="8" t="s">
        <v>35</v>
      </c>
      <c r="B52" s="9" t="s">
        <v>36</v>
      </c>
      <c r="C52" s="10" t="s">
        <v>32</v>
      </c>
      <c r="D52" s="26">
        <v>1</v>
      </c>
      <c r="E52" s="12"/>
      <c r="F52" s="13"/>
    </row>
    <row r="53" spans="1:6" ht="16" thickBot="1" x14ac:dyDescent="0.4">
      <c r="A53" s="8" t="s">
        <v>37</v>
      </c>
      <c r="B53" s="27" t="s">
        <v>38</v>
      </c>
      <c r="C53" s="10" t="s">
        <v>32</v>
      </c>
      <c r="D53" s="26">
        <v>1</v>
      </c>
      <c r="E53" s="12"/>
      <c r="F53" s="13"/>
    </row>
    <row r="54" spans="1:6" ht="15.5" thickBot="1" x14ac:dyDescent="0.4">
      <c r="A54" s="159" t="s">
        <v>39</v>
      </c>
      <c r="B54" s="160"/>
      <c r="C54" s="28"/>
      <c r="D54" s="28"/>
      <c r="E54" s="29"/>
      <c r="F54" s="16"/>
    </row>
    <row r="55" spans="1:6" ht="31.5" thickBot="1" x14ac:dyDescent="0.4">
      <c r="A55" s="4" t="s">
        <v>40</v>
      </c>
      <c r="B55" s="5" t="s">
        <v>41</v>
      </c>
      <c r="C55" s="6"/>
      <c r="D55" s="6"/>
      <c r="E55" s="17"/>
      <c r="F55" s="17"/>
    </row>
    <row r="56" spans="1:6" ht="16" thickBot="1" x14ac:dyDescent="0.4">
      <c r="A56" s="8" t="s">
        <v>42</v>
      </c>
      <c r="B56" s="9" t="s">
        <v>43</v>
      </c>
      <c r="C56" s="10" t="s">
        <v>44</v>
      </c>
      <c r="D56" s="26">
        <v>4</v>
      </c>
      <c r="E56" s="12"/>
      <c r="F56" s="30"/>
    </row>
    <row r="57" spans="1:6" ht="31.5" thickBot="1" x14ac:dyDescent="0.4">
      <c r="A57" s="8" t="s">
        <v>45</v>
      </c>
      <c r="B57" s="9" t="s">
        <v>46</v>
      </c>
      <c r="C57" s="10" t="s">
        <v>32</v>
      </c>
      <c r="D57" s="26">
        <v>1</v>
      </c>
      <c r="E57" s="12"/>
      <c r="F57" s="30"/>
    </row>
    <row r="58" spans="1:6" ht="31.5" thickBot="1" x14ac:dyDescent="0.4">
      <c r="A58" s="8" t="s">
        <v>47</v>
      </c>
      <c r="B58" s="9" t="s">
        <v>50</v>
      </c>
      <c r="C58" s="10" t="s">
        <v>32</v>
      </c>
      <c r="D58" s="26">
        <v>1</v>
      </c>
      <c r="E58" s="12"/>
      <c r="F58" s="30"/>
    </row>
    <row r="59" spans="1:6" ht="15.5" thickBot="1" x14ac:dyDescent="0.4">
      <c r="A59" s="31"/>
      <c r="B59" s="32" t="s">
        <v>51</v>
      </c>
      <c r="C59" s="28"/>
      <c r="D59" s="28"/>
      <c r="E59" s="33"/>
      <c r="F59" s="16"/>
    </row>
    <row r="60" spans="1:6" ht="15.5" thickBot="1" x14ac:dyDescent="0.4">
      <c r="A60" s="145" t="s">
        <v>52</v>
      </c>
      <c r="B60" s="146"/>
      <c r="C60" s="34"/>
      <c r="D60" s="34"/>
      <c r="E60" s="35"/>
      <c r="F60" s="36"/>
    </row>
    <row r="62" spans="1:6" ht="15" thickBot="1" x14ac:dyDescent="0.4"/>
    <row r="63" spans="1:6" ht="16" thickBot="1" x14ac:dyDescent="0.4">
      <c r="A63" s="156" t="s">
        <v>61</v>
      </c>
      <c r="B63" s="157"/>
      <c r="C63" s="157"/>
      <c r="D63" s="157"/>
      <c r="E63" s="157"/>
      <c r="F63" s="158"/>
    </row>
    <row r="64" spans="1:6" ht="15.5" thickBot="1" x14ac:dyDescent="0.4">
      <c r="A64" s="150"/>
      <c r="B64" s="151"/>
      <c r="C64" s="151"/>
      <c r="D64" s="151"/>
      <c r="E64" s="151"/>
      <c r="F64" s="152"/>
    </row>
    <row r="65" spans="1:9" ht="15.5" thickBot="1" x14ac:dyDescent="0.4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3" t="s">
        <v>5</v>
      </c>
    </row>
    <row r="66" spans="1:9" ht="16" thickBot="1" x14ac:dyDescent="0.4">
      <c r="A66" s="4" t="s">
        <v>6</v>
      </c>
      <c r="B66" s="5" t="s">
        <v>7</v>
      </c>
      <c r="C66" s="6"/>
      <c r="D66" s="6"/>
      <c r="E66" s="6"/>
      <c r="F66" s="7"/>
      <c r="I66" s="144"/>
    </row>
    <row r="67" spans="1:9" ht="78" thickBot="1" x14ac:dyDescent="0.4">
      <c r="A67" s="8" t="s">
        <v>8</v>
      </c>
      <c r="B67" s="9" t="s">
        <v>285</v>
      </c>
      <c r="C67" s="10" t="s">
        <v>10</v>
      </c>
      <c r="D67" s="11">
        <v>1</v>
      </c>
      <c r="E67" s="12"/>
      <c r="F67" s="13"/>
    </row>
    <row r="68" spans="1:9" ht="16" thickBot="1" x14ac:dyDescent="0.4">
      <c r="A68" s="8" t="s">
        <v>11</v>
      </c>
      <c r="B68" s="9" t="s">
        <v>12</v>
      </c>
      <c r="C68" s="10" t="s">
        <v>10</v>
      </c>
      <c r="D68" s="10">
        <v>1</v>
      </c>
      <c r="E68" s="12"/>
      <c r="F68" s="13"/>
    </row>
    <row r="69" spans="1:9" ht="16" thickBot="1" x14ac:dyDescent="0.4">
      <c r="A69" s="159" t="s">
        <v>13</v>
      </c>
      <c r="B69" s="160"/>
      <c r="C69" s="14"/>
      <c r="D69" s="14"/>
      <c r="E69" s="15"/>
      <c r="F69" s="16"/>
    </row>
    <row r="70" spans="1:9" ht="16" thickBot="1" x14ac:dyDescent="0.4">
      <c r="A70" s="4" t="s">
        <v>14</v>
      </c>
      <c r="B70" s="5" t="s">
        <v>15</v>
      </c>
      <c r="C70" s="6"/>
      <c r="D70" s="6"/>
      <c r="E70" s="17"/>
      <c r="F70" s="18"/>
    </row>
    <row r="71" spans="1:9" ht="39.5" thickBot="1" x14ac:dyDescent="0.4">
      <c r="A71" s="8" t="s">
        <v>16</v>
      </c>
      <c r="B71" s="9" t="s">
        <v>17</v>
      </c>
      <c r="C71" s="10" t="s">
        <v>18</v>
      </c>
      <c r="D71" s="10">
        <v>41</v>
      </c>
      <c r="E71" s="12"/>
      <c r="F71" s="13"/>
    </row>
    <row r="72" spans="1:9" ht="35.5" thickBot="1" x14ac:dyDescent="0.4">
      <c r="A72" s="8" t="s">
        <v>19</v>
      </c>
      <c r="B72" s="9" t="s">
        <v>20</v>
      </c>
      <c r="C72" s="10" t="s">
        <v>18</v>
      </c>
      <c r="D72" s="10">
        <f>150-D71</f>
        <v>109</v>
      </c>
      <c r="E72" s="12"/>
      <c r="F72" s="13"/>
    </row>
    <row r="73" spans="1:9" ht="16" thickBot="1" x14ac:dyDescent="0.4">
      <c r="A73" s="8" t="s">
        <v>21</v>
      </c>
      <c r="B73" s="9" t="s">
        <v>22</v>
      </c>
      <c r="C73" s="10" t="s">
        <v>18</v>
      </c>
      <c r="D73" s="10">
        <f>+D71</f>
        <v>41</v>
      </c>
      <c r="E73" s="12"/>
      <c r="F73" s="13"/>
    </row>
    <row r="74" spans="1:9" ht="16" thickBot="1" x14ac:dyDescent="0.4">
      <c r="A74" s="159" t="s">
        <v>23</v>
      </c>
      <c r="B74" s="160"/>
      <c r="C74" s="14"/>
      <c r="D74" s="14"/>
      <c r="E74" s="15"/>
      <c r="F74" s="16"/>
    </row>
    <row r="75" spans="1:9" ht="16" thickBot="1" x14ac:dyDescent="0.4">
      <c r="A75" s="4" t="s">
        <v>24</v>
      </c>
      <c r="B75" s="5" t="s">
        <v>25</v>
      </c>
      <c r="C75" s="6"/>
      <c r="D75" s="19"/>
      <c r="E75" s="17"/>
      <c r="F75" s="18"/>
    </row>
    <row r="76" spans="1:9" ht="47" thickBot="1" x14ac:dyDescent="0.4">
      <c r="A76" s="8" t="s">
        <v>26</v>
      </c>
      <c r="B76" s="9" t="s">
        <v>27</v>
      </c>
      <c r="C76" s="10" t="s">
        <v>18</v>
      </c>
      <c r="D76" s="10">
        <f>+D71</f>
        <v>41</v>
      </c>
      <c r="E76" s="12"/>
      <c r="F76" s="13"/>
    </row>
    <row r="77" spans="1:9" ht="62.5" thickBot="1" x14ac:dyDescent="0.4">
      <c r="A77" s="8" t="s">
        <v>28</v>
      </c>
      <c r="B77" s="20" t="s">
        <v>29</v>
      </c>
      <c r="C77" s="21" t="s">
        <v>18</v>
      </c>
      <c r="D77" s="21">
        <f>+D72</f>
        <v>109</v>
      </c>
      <c r="E77" s="22"/>
      <c r="F77" s="13"/>
    </row>
    <row r="78" spans="1:9" ht="31.5" thickBot="1" x14ac:dyDescent="0.4">
      <c r="A78" s="8" t="s">
        <v>30</v>
      </c>
      <c r="B78" s="23" t="s">
        <v>31</v>
      </c>
      <c r="C78" s="24" t="s">
        <v>32</v>
      </c>
      <c r="D78" s="24">
        <v>1</v>
      </c>
      <c r="E78" s="25"/>
      <c r="F78" s="13"/>
    </row>
    <row r="79" spans="1:9" ht="62.5" thickBot="1" x14ac:dyDescent="0.4">
      <c r="A79" s="8" t="s">
        <v>33</v>
      </c>
      <c r="B79" s="9" t="s">
        <v>34</v>
      </c>
      <c r="C79" s="10" t="s">
        <v>32</v>
      </c>
      <c r="D79" s="10">
        <v>1</v>
      </c>
      <c r="E79" s="12"/>
      <c r="F79" s="13"/>
    </row>
    <row r="80" spans="1:9" ht="62.5" thickBot="1" x14ac:dyDescent="0.4">
      <c r="A80" s="8" t="s">
        <v>35</v>
      </c>
      <c r="B80" s="9" t="s">
        <v>36</v>
      </c>
      <c r="C80" s="10" t="s">
        <v>32</v>
      </c>
      <c r="D80" s="26">
        <v>1</v>
      </c>
      <c r="E80" s="12"/>
      <c r="F80" s="13"/>
    </row>
    <row r="81" spans="1:6" ht="16" thickBot="1" x14ac:dyDescent="0.4">
      <c r="A81" s="8" t="s">
        <v>37</v>
      </c>
      <c r="B81" s="27" t="s">
        <v>38</v>
      </c>
      <c r="C81" s="10" t="s">
        <v>32</v>
      </c>
      <c r="D81" s="26">
        <v>1</v>
      </c>
      <c r="E81" s="12"/>
      <c r="F81" s="13"/>
    </row>
    <row r="82" spans="1:6" ht="15.5" thickBot="1" x14ac:dyDescent="0.4">
      <c r="A82" s="159" t="s">
        <v>39</v>
      </c>
      <c r="B82" s="160"/>
      <c r="C82" s="28"/>
      <c r="D82" s="28"/>
      <c r="E82" s="29"/>
      <c r="F82" s="16"/>
    </row>
    <row r="83" spans="1:6" ht="31.5" thickBot="1" x14ac:dyDescent="0.4">
      <c r="A83" s="4" t="s">
        <v>40</v>
      </c>
      <c r="B83" s="5" t="s">
        <v>41</v>
      </c>
      <c r="C83" s="6"/>
      <c r="D83" s="6"/>
      <c r="E83" s="17"/>
      <c r="F83" s="17"/>
    </row>
    <row r="84" spans="1:6" ht="16" thickBot="1" x14ac:dyDescent="0.4">
      <c r="A84" s="8" t="s">
        <v>42</v>
      </c>
      <c r="B84" s="9" t="s">
        <v>43</v>
      </c>
      <c r="C84" s="10" t="s">
        <v>44</v>
      </c>
      <c r="D84" s="26">
        <v>4</v>
      </c>
      <c r="E84" s="12"/>
      <c r="F84" s="30"/>
    </row>
    <row r="85" spans="1:6" ht="31.5" thickBot="1" x14ac:dyDescent="0.4">
      <c r="A85" s="8" t="s">
        <v>45</v>
      </c>
      <c r="B85" s="9" t="s">
        <v>46</v>
      </c>
      <c r="C85" s="10" t="s">
        <v>32</v>
      </c>
      <c r="D85" s="26">
        <v>1</v>
      </c>
      <c r="E85" s="12"/>
      <c r="F85" s="30"/>
    </row>
    <row r="86" spans="1:6" ht="31.5" thickBot="1" x14ac:dyDescent="0.4">
      <c r="A86" s="8" t="s">
        <v>47</v>
      </c>
      <c r="B86" s="9" t="s">
        <v>50</v>
      </c>
      <c r="C86" s="10" t="s">
        <v>32</v>
      </c>
      <c r="D86" s="26">
        <v>1</v>
      </c>
      <c r="E86" s="12"/>
      <c r="F86" s="30"/>
    </row>
    <row r="87" spans="1:6" ht="15.5" thickBot="1" x14ac:dyDescent="0.4">
      <c r="A87" s="31"/>
      <c r="B87" s="32" t="s">
        <v>51</v>
      </c>
      <c r="C87" s="28"/>
      <c r="D87" s="28"/>
      <c r="E87" s="33"/>
      <c r="F87" s="16"/>
    </row>
    <row r="88" spans="1:6" ht="15.5" thickBot="1" x14ac:dyDescent="0.4">
      <c r="A88" s="145" t="s">
        <v>52</v>
      </c>
      <c r="B88" s="146"/>
      <c r="C88" s="34"/>
      <c r="D88" s="34"/>
      <c r="E88" s="35"/>
      <c r="F88" s="36"/>
    </row>
    <row r="91" spans="1:6" ht="15" thickBot="1" x14ac:dyDescent="0.4"/>
    <row r="92" spans="1:6" ht="15.5" thickBot="1" x14ac:dyDescent="0.4">
      <c r="A92" s="161" t="s">
        <v>64</v>
      </c>
      <c r="B92" s="162"/>
      <c r="C92" s="162"/>
      <c r="D92" s="162"/>
      <c r="E92" s="162"/>
      <c r="F92" s="163"/>
    </row>
    <row r="94" spans="1:6" ht="15" x14ac:dyDescent="0.35">
      <c r="A94" s="57" t="s">
        <v>0</v>
      </c>
      <c r="B94" s="57" t="s">
        <v>62</v>
      </c>
      <c r="C94" s="57" t="s">
        <v>2</v>
      </c>
      <c r="D94" s="57" t="s">
        <v>3</v>
      </c>
      <c r="E94" s="57" t="s">
        <v>4</v>
      </c>
      <c r="F94" s="58" t="s">
        <v>5</v>
      </c>
    </row>
    <row r="95" spans="1:6" ht="15.5" x14ac:dyDescent="0.35">
      <c r="A95" s="59">
        <v>1</v>
      </c>
      <c r="B95" s="59" t="str">
        <f>+A6</f>
        <v>Village de Dogoni</v>
      </c>
      <c r="C95" s="60" t="s">
        <v>63</v>
      </c>
      <c r="D95" s="60">
        <v>2</v>
      </c>
      <c r="E95" s="59"/>
      <c r="F95" s="59"/>
    </row>
    <row r="96" spans="1:6" ht="15.5" x14ac:dyDescent="0.35">
      <c r="A96" s="59">
        <v>2</v>
      </c>
      <c r="B96" s="59" t="str">
        <f>+A35</f>
        <v>Feya</v>
      </c>
      <c r="C96" s="60" t="s">
        <v>63</v>
      </c>
      <c r="D96" s="60">
        <v>2</v>
      </c>
      <c r="E96" s="59"/>
      <c r="F96" s="59"/>
    </row>
    <row r="97" spans="1:6" ht="15.5" x14ac:dyDescent="0.35">
      <c r="A97" s="59">
        <v>3</v>
      </c>
      <c r="B97" s="59" t="str">
        <f>+A63</f>
        <v>Tanabougou</v>
      </c>
      <c r="C97" s="60" t="s">
        <v>63</v>
      </c>
      <c r="D97" s="60">
        <v>1</v>
      </c>
      <c r="E97" s="59"/>
      <c r="F97" s="59"/>
    </row>
  </sheetData>
  <mergeCells count="24">
    <mergeCell ref="A92:F92"/>
    <mergeCell ref="A63:F63"/>
    <mergeCell ref="A64:F64"/>
    <mergeCell ref="A69:B69"/>
    <mergeCell ref="A74:B74"/>
    <mergeCell ref="A82:B82"/>
    <mergeCell ref="A88:B88"/>
    <mergeCell ref="A60:B60"/>
    <mergeCell ref="A6:F6"/>
    <mergeCell ref="A7:F7"/>
    <mergeCell ref="A12:B12"/>
    <mergeCell ref="A17:B17"/>
    <mergeCell ref="A25:B25"/>
    <mergeCell ref="A32:B32"/>
    <mergeCell ref="A35:F35"/>
    <mergeCell ref="A36:F36"/>
    <mergeCell ref="A41:B41"/>
    <mergeCell ref="A46:B46"/>
    <mergeCell ref="A54:B54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FECF-CCCF-493D-98C8-C513513955E3}">
  <dimension ref="A1:F333"/>
  <sheetViews>
    <sheetView tabSelected="1" topLeftCell="A319" workbookViewId="0">
      <selection activeCell="D253" sqref="D253:D256"/>
    </sheetView>
  </sheetViews>
  <sheetFormatPr baseColWidth="10" defaultRowHeight="14.5" x14ac:dyDescent="0.35"/>
  <cols>
    <col min="2" max="2" width="47.54296875" style="135" customWidth="1"/>
    <col min="5" max="5" width="14.36328125" customWidth="1"/>
    <col min="6" max="6" width="15.08984375" customWidth="1"/>
  </cols>
  <sheetData>
    <row r="1" spans="1:6" ht="71.400000000000006" customHeight="1" thickBot="1" x14ac:dyDescent="0.4">
      <c r="A1" s="147" t="s">
        <v>284</v>
      </c>
      <c r="B1" s="148"/>
      <c r="C1" s="148"/>
      <c r="D1" s="148"/>
      <c r="E1" s="148"/>
      <c r="F1" s="149"/>
    </row>
    <row r="2" spans="1:6" ht="15.5" thickBot="1" x14ac:dyDescent="0.4">
      <c r="A2" s="150"/>
      <c r="B2" s="151"/>
      <c r="C2" s="151"/>
      <c r="D2" s="151"/>
      <c r="E2" s="151"/>
      <c r="F2" s="152"/>
    </row>
    <row r="3" spans="1:6" ht="16" thickBot="1" x14ac:dyDescent="0.4">
      <c r="A3" s="153" t="s">
        <v>278</v>
      </c>
      <c r="B3" s="154"/>
      <c r="C3" s="154"/>
      <c r="D3" s="154"/>
      <c r="E3" s="154"/>
      <c r="F3" s="155"/>
    </row>
    <row r="4" spans="1:6" ht="15.5" thickBot="1" x14ac:dyDescent="0.4">
      <c r="A4" s="150"/>
      <c r="B4" s="151"/>
      <c r="C4" s="151"/>
      <c r="D4" s="151"/>
      <c r="E4" s="151"/>
      <c r="F4" s="152"/>
    </row>
    <row r="5" spans="1:6" ht="16" thickBot="1" x14ac:dyDescent="0.4">
      <c r="A5" s="153" t="s">
        <v>279</v>
      </c>
      <c r="B5" s="154"/>
      <c r="C5" s="154"/>
      <c r="D5" s="154"/>
      <c r="E5" s="154"/>
      <c r="F5" s="155"/>
    </row>
    <row r="6" spans="1:6" ht="16" thickBot="1" x14ac:dyDescent="0.4">
      <c r="A6" s="156" t="s">
        <v>272</v>
      </c>
      <c r="B6" s="157"/>
      <c r="C6" s="157"/>
      <c r="D6" s="157"/>
      <c r="E6" s="157"/>
      <c r="F6" s="158"/>
    </row>
    <row r="7" spans="1:6" ht="15" thickBot="1" x14ac:dyDescent="0.4">
      <c r="A7" s="182" t="s">
        <v>67</v>
      </c>
      <c r="B7" s="183"/>
      <c r="C7" s="183"/>
      <c r="D7" s="183"/>
      <c r="E7" s="183"/>
      <c r="F7" s="184"/>
    </row>
    <row r="8" spans="1:6" x14ac:dyDescent="0.35">
      <c r="A8" s="61"/>
      <c r="B8" s="62"/>
      <c r="D8" s="63"/>
      <c r="F8" s="64"/>
    </row>
    <row r="9" spans="1:6" ht="30" x14ac:dyDescent="0.35">
      <c r="A9" s="65" t="s">
        <v>68</v>
      </c>
      <c r="B9" s="66" t="s">
        <v>69</v>
      </c>
      <c r="C9" s="67" t="s">
        <v>70</v>
      </c>
      <c r="D9" s="68" t="s">
        <v>70</v>
      </c>
      <c r="E9" s="67" t="s">
        <v>70</v>
      </c>
      <c r="F9" s="69" t="s">
        <v>70</v>
      </c>
    </row>
    <row r="10" spans="1:6" ht="30" x14ac:dyDescent="0.35">
      <c r="A10" s="70" t="s">
        <v>71</v>
      </c>
      <c r="B10" s="71" t="s">
        <v>72</v>
      </c>
      <c r="C10" s="72" t="s">
        <v>73</v>
      </c>
      <c r="D10" s="73" t="s">
        <v>74</v>
      </c>
      <c r="E10" s="72" t="s">
        <v>75</v>
      </c>
      <c r="F10" s="74" t="s">
        <v>76</v>
      </c>
    </row>
    <row r="11" spans="1:6" ht="15.5" x14ac:dyDescent="0.35">
      <c r="A11" s="70" t="s">
        <v>77</v>
      </c>
      <c r="B11" s="75" t="s">
        <v>78</v>
      </c>
      <c r="C11" s="76" t="s">
        <v>10</v>
      </c>
      <c r="D11" s="77">
        <v>1</v>
      </c>
      <c r="E11" s="78"/>
      <c r="F11" s="79"/>
    </row>
    <row r="12" spans="1:6" ht="31" x14ac:dyDescent="0.35">
      <c r="A12" s="70" t="s">
        <v>79</v>
      </c>
      <c r="B12" s="75" t="s">
        <v>80</v>
      </c>
      <c r="C12" s="76" t="s">
        <v>10</v>
      </c>
      <c r="D12" s="77">
        <v>1</v>
      </c>
      <c r="E12" s="78"/>
      <c r="F12" s="79"/>
    </row>
    <row r="13" spans="1:6" ht="15.5" x14ac:dyDescent="0.35">
      <c r="A13" s="70" t="s">
        <v>81</v>
      </c>
      <c r="B13" s="75" t="s">
        <v>82</v>
      </c>
      <c r="C13" s="76" t="s">
        <v>10</v>
      </c>
      <c r="D13" s="77">
        <v>1</v>
      </c>
      <c r="E13" s="78"/>
      <c r="F13" s="79"/>
    </row>
    <row r="14" spans="1:6" ht="30" x14ac:dyDescent="0.35">
      <c r="A14" s="80" t="s">
        <v>70</v>
      </c>
      <c r="B14" s="81" t="s">
        <v>83</v>
      </c>
      <c r="C14" s="82" t="s">
        <v>84</v>
      </c>
      <c r="D14" s="83" t="s">
        <v>84</v>
      </c>
      <c r="E14" s="82"/>
      <c r="F14" s="84"/>
    </row>
    <row r="15" spans="1:6" ht="15" x14ac:dyDescent="0.35">
      <c r="A15" s="65" t="s">
        <v>85</v>
      </c>
      <c r="B15" s="177" t="s">
        <v>86</v>
      </c>
      <c r="C15" s="177"/>
      <c r="D15" s="177"/>
      <c r="E15" s="177"/>
      <c r="F15" s="178"/>
    </row>
    <row r="16" spans="1:6" ht="30" x14ac:dyDescent="0.35">
      <c r="A16" s="70" t="s">
        <v>71</v>
      </c>
      <c r="B16" s="71" t="s">
        <v>72</v>
      </c>
      <c r="C16" s="72" t="s">
        <v>73</v>
      </c>
      <c r="D16" s="73" t="s">
        <v>74</v>
      </c>
      <c r="E16" s="72" t="s">
        <v>75</v>
      </c>
      <c r="F16" s="74" t="s">
        <v>76</v>
      </c>
    </row>
    <row r="17" spans="1:6" ht="15.5" x14ac:dyDescent="0.35">
      <c r="A17" s="70" t="s">
        <v>77</v>
      </c>
      <c r="B17" s="71" t="s">
        <v>87</v>
      </c>
      <c r="C17" s="76" t="s">
        <v>84</v>
      </c>
      <c r="D17" s="85" t="s">
        <v>70</v>
      </c>
      <c r="E17" s="76" t="s">
        <v>84</v>
      </c>
      <c r="F17" s="74" t="s">
        <v>84</v>
      </c>
    </row>
    <row r="18" spans="1:6" ht="15.5" x14ac:dyDescent="0.35">
      <c r="A18" s="70" t="s">
        <v>88</v>
      </c>
      <c r="B18" s="75" t="s">
        <v>89</v>
      </c>
      <c r="C18" s="76" t="s">
        <v>90</v>
      </c>
      <c r="D18" s="86">
        <f>54.7*1.2</f>
        <v>65.64</v>
      </c>
      <c r="E18" s="78"/>
      <c r="F18" s="79"/>
    </row>
    <row r="19" spans="1:6" ht="18.5" x14ac:dyDescent="0.35">
      <c r="A19" s="70" t="s">
        <v>91</v>
      </c>
      <c r="B19" s="75" t="s">
        <v>92</v>
      </c>
      <c r="C19" s="76" t="s">
        <v>93</v>
      </c>
      <c r="D19" s="86">
        <f>(54.7*0.4*0.6)*1.2</f>
        <v>15.753600000000002</v>
      </c>
      <c r="E19" s="78"/>
      <c r="F19" s="79"/>
    </row>
    <row r="20" spans="1:6" ht="18.5" x14ac:dyDescent="0.35">
      <c r="A20" s="70" t="s">
        <v>94</v>
      </c>
      <c r="B20" s="75" t="s">
        <v>95</v>
      </c>
      <c r="C20" s="76" t="s">
        <v>93</v>
      </c>
      <c r="D20" s="86">
        <f>(0.6*0.6*1.2)*19*1.2</f>
        <v>9.8496000000000006</v>
      </c>
      <c r="E20" s="78"/>
      <c r="F20" s="79"/>
    </row>
    <row r="21" spans="1:6" ht="18.5" x14ac:dyDescent="0.35">
      <c r="A21" s="70" t="s">
        <v>96</v>
      </c>
      <c r="B21" s="75" t="s">
        <v>97</v>
      </c>
      <c r="C21" s="76" t="s">
        <v>93</v>
      </c>
      <c r="D21" s="86">
        <f>+D20+D19</f>
        <v>25.603200000000001</v>
      </c>
      <c r="E21" s="78"/>
      <c r="F21" s="79"/>
    </row>
    <row r="22" spans="1:6" ht="15" x14ac:dyDescent="0.35">
      <c r="A22" s="70" t="s">
        <v>70</v>
      </c>
      <c r="B22" s="71" t="s">
        <v>98</v>
      </c>
      <c r="C22" s="72" t="s">
        <v>70</v>
      </c>
      <c r="D22" s="73" t="s">
        <v>70</v>
      </c>
      <c r="E22" s="72"/>
      <c r="F22" s="87"/>
    </row>
    <row r="23" spans="1:6" ht="15.5" x14ac:dyDescent="0.35">
      <c r="A23" s="70" t="s">
        <v>99</v>
      </c>
      <c r="B23" s="71" t="s">
        <v>100</v>
      </c>
      <c r="C23" s="72" t="s">
        <v>70</v>
      </c>
      <c r="D23" s="88" t="s">
        <v>70</v>
      </c>
      <c r="E23" s="72"/>
      <c r="F23" s="89"/>
    </row>
    <row r="24" spans="1:6" ht="18.5" x14ac:dyDescent="0.35">
      <c r="A24" s="70" t="s">
        <v>101</v>
      </c>
      <c r="B24" s="75" t="s">
        <v>102</v>
      </c>
      <c r="C24" s="76" t="s">
        <v>93</v>
      </c>
      <c r="D24" s="86">
        <f>((0.4*0.05*54.7)+(0.6*0.6*0.05)*19)*1.2</f>
        <v>1.7232000000000005</v>
      </c>
      <c r="E24" s="78"/>
      <c r="F24" s="79"/>
    </row>
    <row r="25" spans="1:6" ht="18.5" x14ac:dyDescent="0.35">
      <c r="A25" s="70" t="s">
        <v>103</v>
      </c>
      <c r="B25" s="75" t="s">
        <v>104</v>
      </c>
      <c r="C25" s="76" t="s">
        <v>93</v>
      </c>
      <c r="D25" s="86">
        <f>(0.6*0.6*0.2)*19*1.2</f>
        <v>1.6415999999999997</v>
      </c>
      <c r="E25" s="78"/>
      <c r="F25" s="79"/>
    </row>
    <row r="26" spans="1:6" ht="18.5" x14ac:dyDescent="0.35">
      <c r="A26" s="70" t="s">
        <v>105</v>
      </c>
      <c r="B26" s="75" t="s">
        <v>106</v>
      </c>
      <c r="C26" s="76" t="s">
        <v>93</v>
      </c>
      <c r="D26" s="86">
        <f>(0.2*0.2*1.5)*19*1.2</f>
        <v>1.3680000000000001</v>
      </c>
      <c r="E26" s="78"/>
      <c r="F26" s="79"/>
    </row>
    <row r="27" spans="1:6" ht="31" x14ac:dyDescent="0.35">
      <c r="A27" s="70" t="s">
        <v>107</v>
      </c>
      <c r="B27" s="75" t="s">
        <v>108</v>
      </c>
      <c r="C27" s="76" t="s">
        <v>109</v>
      </c>
      <c r="D27" s="86">
        <f>(54.7*1.05)*1.2</f>
        <v>68.921999999999997</v>
      </c>
      <c r="E27" s="78"/>
      <c r="F27" s="79"/>
    </row>
    <row r="28" spans="1:6" ht="18.5" x14ac:dyDescent="0.35">
      <c r="A28" s="70" t="s">
        <v>110</v>
      </c>
      <c r="B28" s="75" t="s">
        <v>111</v>
      </c>
      <c r="C28" s="76" t="s">
        <v>93</v>
      </c>
      <c r="D28" s="86">
        <f>(0.2*0.2*54.7)*1.2</f>
        <v>2.6256000000000008</v>
      </c>
      <c r="E28" s="78"/>
      <c r="F28" s="79"/>
    </row>
    <row r="29" spans="1:6" ht="15" x14ac:dyDescent="0.35">
      <c r="A29" s="70" t="s">
        <v>70</v>
      </c>
      <c r="B29" s="71" t="s">
        <v>112</v>
      </c>
      <c r="C29" s="72" t="s">
        <v>70</v>
      </c>
      <c r="D29" s="73" t="s">
        <v>70</v>
      </c>
      <c r="E29" s="72"/>
      <c r="F29" s="87"/>
    </row>
    <row r="30" spans="1:6" ht="15.5" x14ac:dyDescent="0.35">
      <c r="A30" s="70" t="s">
        <v>79</v>
      </c>
      <c r="B30" s="71" t="s">
        <v>113</v>
      </c>
      <c r="C30" s="76" t="s">
        <v>84</v>
      </c>
      <c r="D30" s="85" t="s">
        <v>70</v>
      </c>
      <c r="E30" s="76"/>
      <c r="F30" s="89"/>
    </row>
    <row r="31" spans="1:6" ht="18.5" x14ac:dyDescent="0.35">
      <c r="A31" s="70" t="s">
        <v>114</v>
      </c>
      <c r="B31" s="75" t="s">
        <v>115</v>
      </c>
      <c r="C31" s="76" t="s">
        <v>109</v>
      </c>
      <c r="D31" s="86">
        <f>(2.45*54.7)*1.2</f>
        <v>160.81800000000001</v>
      </c>
      <c r="E31" s="78"/>
      <c r="F31" s="79"/>
    </row>
    <row r="32" spans="1:6" ht="18.5" x14ac:dyDescent="0.35">
      <c r="A32" s="70" t="s">
        <v>116</v>
      </c>
      <c r="B32" s="75" t="s">
        <v>117</v>
      </c>
      <c r="C32" s="76" t="s">
        <v>93</v>
      </c>
      <c r="D32" s="86">
        <f>(0.15*0.15*2.45)*19*1.2</f>
        <v>1.2568499999999998</v>
      </c>
      <c r="E32" s="78"/>
      <c r="F32" s="79"/>
    </row>
    <row r="33" spans="1:6" ht="18.5" x14ac:dyDescent="0.35">
      <c r="A33" s="70" t="s">
        <v>118</v>
      </c>
      <c r="B33" s="75" t="s">
        <v>119</v>
      </c>
      <c r="C33" s="76" t="s">
        <v>93</v>
      </c>
      <c r="D33" s="86">
        <f>(54.7*0.15*0.1)*1.2</f>
        <v>0.98459999999999992</v>
      </c>
      <c r="E33" s="78"/>
      <c r="F33" s="79"/>
    </row>
    <row r="34" spans="1:6" ht="18.5" x14ac:dyDescent="0.35">
      <c r="A34" s="70" t="s">
        <v>120</v>
      </c>
      <c r="B34" s="75" t="s">
        <v>121</v>
      </c>
      <c r="C34" s="76" t="s">
        <v>93</v>
      </c>
      <c r="D34" s="86">
        <f>(54.7*0.15*0.2)*1.2</f>
        <v>1.9691999999999998</v>
      </c>
      <c r="E34" s="78"/>
      <c r="F34" s="79"/>
    </row>
    <row r="35" spans="1:6" ht="15" x14ac:dyDescent="0.35">
      <c r="A35" s="70" t="s">
        <v>70</v>
      </c>
      <c r="B35" s="71" t="s">
        <v>122</v>
      </c>
      <c r="C35" s="72" t="s">
        <v>70</v>
      </c>
      <c r="D35" s="73" t="s">
        <v>70</v>
      </c>
      <c r="E35" s="72"/>
      <c r="F35" s="87"/>
    </row>
    <row r="36" spans="1:6" ht="15.5" x14ac:dyDescent="0.35">
      <c r="A36" s="70" t="s">
        <v>123</v>
      </c>
      <c r="B36" s="71" t="s">
        <v>124</v>
      </c>
      <c r="C36" s="76" t="s">
        <v>84</v>
      </c>
      <c r="D36" s="86" t="s">
        <v>84</v>
      </c>
      <c r="E36" s="76"/>
      <c r="F36" s="89"/>
    </row>
    <row r="37" spans="1:6" ht="18.5" x14ac:dyDescent="0.35">
      <c r="A37" s="70" t="s">
        <v>125</v>
      </c>
      <c r="B37" s="75" t="s">
        <v>126</v>
      </c>
      <c r="C37" s="76" t="s">
        <v>109</v>
      </c>
      <c r="D37" s="77">
        <f>(54.7*2.45)*1.2</f>
        <v>160.81800000000001</v>
      </c>
      <c r="E37" s="78"/>
      <c r="F37" s="79"/>
    </row>
    <row r="38" spans="1:6" ht="18.5" x14ac:dyDescent="0.35">
      <c r="A38" s="70" t="s">
        <v>127</v>
      </c>
      <c r="B38" s="75" t="s">
        <v>128</v>
      </c>
      <c r="C38" s="76" t="s">
        <v>109</v>
      </c>
      <c r="D38" s="77">
        <f>(54.7*2.45)*1.2</f>
        <v>160.81800000000001</v>
      </c>
      <c r="E38" s="78"/>
      <c r="F38" s="79"/>
    </row>
    <row r="39" spans="1:6" ht="18.5" x14ac:dyDescent="0.35">
      <c r="A39" s="70" t="s">
        <v>129</v>
      </c>
      <c r="B39" s="75" t="s">
        <v>130</v>
      </c>
      <c r="C39" s="76" t="s">
        <v>109</v>
      </c>
      <c r="D39" s="77">
        <f>+D37</f>
        <v>160.81800000000001</v>
      </c>
      <c r="E39" s="78"/>
      <c r="F39" s="79"/>
    </row>
    <row r="40" spans="1:6" ht="18.5" x14ac:dyDescent="0.35">
      <c r="A40" s="70" t="s">
        <v>131</v>
      </c>
      <c r="B40" s="75" t="s">
        <v>132</v>
      </c>
      <c r="C40" s="76" t="s">
        <v>109</v>
      </c>
      <c r="D40" s="77">
        <f>+D38</f>
        <v>160.81800000000001</v>
      </c>
      <c r="E40" s="78"/>
      <c r="F40" s="79"/>
    </row>
    <row r="41" spans="1:6" ht="15" x14ac:dyDescent="0.35">
      <c r="A41" s="70" t="s">
        <v>70</v>
      </c>
      <c r="B41" s="71" t="s">
        <v>133</v>
      </c>
      <c r="C41" s="72" t="s">
        <v>70</v>
      </c>
      <c r="D41" s="73" t="s">
        <v>70</v>
      </c>
      <c r="E41" s="72"/>
      <c r="F41" s="87"/>
    </row>
    <row r="42" spans="1:6" ht="15.5" x14ac:dyDescent="0.35">
      <c r="A42" s="70" t="s">
        <v>81</v>
      </c>
      <c r="B42" s="71" t="s">
        <v>134</v>
      </c>
      <c r="C42" s="76" t="s">
        <v>84</v>
      </c>
      <c r="D42" s="86" t="s">
        <v>84</v>
      </c>
      <c r="E42" s="76"/>
      <c r="F42" s="89"/>
    </row>
    <row r="43" spans="1:6" ht="46.5" x14ac:dyDescent="0.35">
      <c r="A43" s="70" t="s">
        <v>135</v>
      </c>
      <c r="B43" s="75" t="s">
        <v>136</v>
      </c>
      <c r="C43" s="76" t="s">
        <v>2</v>
      </c>
      <c r="D43" s="77">
        <v>1</v>
      </c>
      <c r="E43" s="78"/>
      <c r="F43" s="79"/>
    </row>
    <row r="44" spans="1:6" ht="15" x14ac:dyDescent="0.35">
      <c r="A44" s="70" t="s">
        <v>70</v>
      </c>
      <c r="B44" s="71" t="s">
        <v>137</v>
      </c>
      <c r="C44" s="72" t="s">
        <v>70</v>
      </c>
      <c r="D44" s="73" t="s">
        <v>70</v>
      </c>
      <c r="E44" s="72"/>
      <c r="F44" s="87"/>
    </row>
    <row r="45" spans="1:6" ht="15.5" x14ac:dyDescent="0.35">
      <c r="A45" s="80" t="s">
        <v>70</v>
      </c>
      <c r="B45" s="81" t="s">
        <v>138</v>
      </c>
      <c r="C45" s="82" t="s">
        <v>84</v>
      </c>
      <c r="D45" s="83" t="s">
        <v>84</v>
      </c>
      <c r="E45" s="82"/>
      <c r="F45" s="84"/>
    </row>
    <row r="46" spans="1:6" ht="15.5" x14ac:dyDescent="0.35">
      <c r="A46" s="90"/>
      <c r="B46" s="91"/>
      <c r="C46" s="92"/>
      <c r="D46" s="93"/>
      <c r="E46" s="92"/>
      <c r="F46" s="94"/>
    </row>
    <row r="47" spans="1:6" ht="15" x14ac:dyDescent="0.35">
      <c r="A47" s="65" t="s">
        <v>139</v>
      </c>
      <c r="B47" s="185" t="s">
        <v>140</v>
      </c>
      <c r="C47" s="186"/>
      <c r="D47" s="186"/>
      <c r="E47" s="186"/>
      <c r="F47" s="187"/>
    </row>
    <row r="48" spans="1:6" ht="30" x14ac:dyDescent="0.35">
      <c r="A48" s="70" t="s">
        <v>71</v>
      </c>
      <c r="B48" s="71" t="s">
        <v>72</v>
      </c>
      <c r="C48" s="72" t="s">
        <v>73</v>
      </c>
      <c r="D48" s="73" t="s">
        <v>74</v>
      </c>
      <c r="E48" s="72" t="s">
        <v>75</v>
      </c>
      <c r="F48" s="74" t="s">
        <v>76</v>
      </c>
    </row>
    <row r="49" spans="1:6" ht="15.5" x14ac:dyDescent="0.35">
      <c r="A49" s="70" t="s">
        <v>77</v>
      </c>
      <c r="B49" s="71" t="s">
        <v>87</v>
      </c>
      <c r="C49" s="76" t="s">
        <v>84</v>
      </c>
      <c r="D49" s="85" t="s">
        <v>70</v>
      </c>
      <c r="E49" s="76" t="s">
        <v>84</v>
      </c>
      <c r="F49" s="74" t="s">
        <v>84</v>
      </c>
    </row>
    <row r="50" spans="1:6" ht="18.5" x14ac:dyDescent="0.35">
      <c r="A50" s="70" t="s">
        <v>88</v>
      </c>
      <c r="B50" s="75" t="s">
        <v>89</v>
      </c>
      <c r="C50" s="76" t="s">
        <v>109</v>
      </c>
      <c r="D50" s="86">
        <f>(6+2)*(3.3+2)</f>
        <v>42.4</v>
      </c>
      <c r="E50" s="78"/>
      <c r="F50" s="79"/>
    </row>
    <row r="51" spans="1:6" ht="18.5" x14ac:dyDescent="0.35">
      <c r="A51" s="70" t="s">
        <v>91</v>
      </c>
      <c r="B51" s="75" t="s">
        <v>92</v>
      </c>
      <c r="C51" s="76" t="s">
        <v>93</v>
      </c>
      <c r="D51" s="86">
        <f>(21.9*0.4*0.6)*1.2</f>
        <v>6.307199999999999</v>
      </c>
      <c r="E51" s="78"/>
      <c r="F51" s="79"/>
    </row>
    <row r="52" spans="1:6" ht="18.5" x14ac:dyDescent="0.35">
      <c r="A52" s="70" t="s">
        <v>94</v>
      </c>
      <c r="B52" s="75" t="s">
        <v>95</v>
      </c>
      <c r="C52" s="76" t="s">
        <v>93</v>
      </c>
      <c r="D52" s="86">
        <f>(0.8*0.8*1.2)*6*1.2</f>
        <v>5.5296000000000003</v>
      </c>
      <c r="E52" s="78"/>
      <c r="F52" s="79"/>
    </row>
    <row r="53" spans="1:6" ht="18.5" x14ac:dyDescent="0.35">
      <c r="A53" s="70" t="s">
        <v>96</v>
      </c>
      <c r="B53" s="75" t="s">
        <v>97</v>
      </c>
      <c r="C53" s="76" t="s">
        <v>93</v>
      </c>
      <c r="D53" s="86">
        <f>+D52+D51</f>
        <v>11.8368</v>
      </c>
      <c r="E53" s="78"/>
      <c r="F53" s="79"/>
    </row>
    <row r="54" spans="1:6" ht="18.5" x14ac:dyDescent="0.35">
      <c r="A54" s="70" t="s">
        <v>141</v>
      </c>
      <c r="B54" s="75" t="s">
        <v>142</v>
      </c>
      <c r="C54" s="76" t="s">
        <v>93</v>
      </c>
      <c r="D54" s="86">
        <f>((19.8*0.45)-D53*0.15)*1.2</f>
        <v>8.5613759999999992</v>
      </c>
      <c r="E54" s="78"/>
      <c r="F54" s="79"/>
    </row>
    <row r="55" spans="1:6" ht="15" x14ac:dyDescent="0.35">
      <c r="A55" s="70" t="s">
        <v>70</v>
      </c>
      <c r="B55" s="71" t="s">
        <v>98</v>
      </c>
      <c r="C55" s="72" t="s">
        <v>70</v>
      </c>
      <c r="D55" s="73" t="s">
        <v>70</v>
      </c>
      <c r="E55" s="72"/>
      <c r="F55" s="87"/>
    </row>
    <row r="56" spans="1:6" ht="15.5" x14ac:dyDescent="0.35">
      <c r="A56" s="70" t="s">
        <v>99</v>
      </c>
      <c r="B56" s="71" t="s">
        <v>100</v>
      </c>
      <c r="C56" s="72" t="s">
        <v>70</v>
      </c>
      <c r="D56" s="88" t="s">
        <v>70</v>
      </c>
      <c r="E56" s="72"/>
      <c r="F56" s="89"/>
    </row>
    <row r="57" spans="1:6" ht="18.5" x14ac:dyDescent="0.35">
      <c r="A57" s="70" t="s">
        <v>101</v>
      </c>
      <c r="B57" s="75" t="s">
        <v>102</v>
      </c>
      <c r="C57" s="76" t="s">
        <v>93</v>
      </c>
      <c r="D57" s="86">
        <f>((0.4*0.05*21.9)+(0.8*0.8*0.05)*6)*1.2</f>
        <v>0.75600000000000012</v>
      </c>
      <c r="E57" s="78"/>
      <c r="F57" s="79"/>
    </row>
    <row r="58" spans="1:6" ht="18.5" x14ac:dyDescent="0.35">
      <c r="A58" s="70" t="s">
        <v>143</v>
      </c>
      <c r="B58" s="75" t="s">
        <v>104</v>
      </c>
      <c r="C58" s="76" t="s">
        <v>93</v>
      </c>
      <c r="D58" s="86">
        <f>(0.8*0.8*0.25)*6*1.2</f>
        <v>1.1520000000000001</v>
      </c>
      <c r="E58" s="78"/>
      <c r="F58" s="79"/>
    </row>
    <row r="59" spans="1:6" ht="18.5" x14ac:dyDescent="0.35">
      <c r="A59" s="70" t="s">
        <v>144</v>
      </c>
      <c r="B59" s="75" t="s">
        <v>106</v>
      </c>
      <c r="C59" s="76" t="s">
        <v>93</v>
      </c>
      <c r="D59" s="86">
        <f>(0.2*0.2*1.5)*6*1.2</f>
        <v>0.43200000000000011</v>
      </c>
      <c r="E59" s="78"/>
      <c r="F59" s="79"/>
    </row>
    <row r="60" spans="1:6" ht="31" x14ac:dyDescent="0.35">
      <c r="A60" s="70" t="s">
        <v>145</v>
      </c>
      <c r="B60" s="75" t="s">
        <v>108</v>
      </c>
      <c r="C60" s="76" t="s">
        <v>109</v>
      </c>
      <c r="D60" s="86">
        <f>(21.9*1.05)*1.2</f>
        <v>27.594000000000001</v>
      </c>
      <c r="E60" s="78"/>
      <c r="F60" s="79"/>
    </row>
    <row r="61" spans="1:6" ht="18.5" x14ac:dyDescent="0.35">
      <c r="A61" s="70" t="s">
        <v>146</v>
      </c>
      <c r="B61" s="75" t="s">
        <v>111</v>
      </c>
      <c r="C61" s="76" t="s">
        <v>93</v>
      </c>
      <c r="D61" s="86">
        <f>(0.2*0.2*21.9)*1.2</f>
        <v>1.0512000000000001</v>
      </c>
      <c r="E61" s="78"/>
      <c r="F61" s="79"/>
    </row>
    <row r="62" spans="1:6" ht="18.5" x14ac:dyDescent="0.35">
      <c r="A62" s="70" t="s">
        <v>147</v>
      </c>
      <c r="B62" s="75" t="s">
        <v>148</v>
      </c>
      <c r="C62" s="76" t="s">
        <v>93</v>
      </c>
      <c r="D62" s="86">
        <f>(0.9*3*0.15)*1.2</f>
        <v>0.48599999999999999</v>
      </c>
      <c r="E62" s="78"/>
      <c r="F62" s="79"/>
    </row>
    <row r="63" spans="1:6" ht="18.5" x14ac:dyDescent="0.35">
      <c r="A63" s="70" t="s">
        <v>149</v>
      </c>
      <c r="B63" s="75" t="s">
        <v>150</v>
      </c>
      <c r="C63" s="76" t="s">
        <v>93</v>
      </c>
      <c r="D63" s="86">
        <f>16.65*0.12*1.2</f>
        <v>2.3975999999999997</v>
      </c>
      <c r="E63" s="78"/>
      <c r="F63" s="79"/>
    </row>
    <row r="64" spans="1:6" ht="15" x14ac:dyDescent="0.35">
      <c r="A64" s="70" t="s">
        <v>70</v>
      </c>
      <c r="B64" s="71" t="s">
        <v>112</v>
      </c>
      <c r="C64" s="72" t="s">
        <v>70</v>
      </c>
      <c r="D64" s="73" t="s">
        <v>70</v>
      </c>
      <c r="E64" s="72"/>
      <c r="F64" s="87"/>
    </row>
    <row r="65" spans="1:6" ht="15.5" x14ac:dyDescent="0.35">
      <c r="A65" s="70" t="s">
        <v>79</v>
      </c>
      <c r="B65" s="71" t="s">
        <v>113</v>
      </c>
      <c r="C65" s="76" t="s">
        <v>84</v>
      </c>
      <c r="D65" s="85" t="s">
        <v>70</v>
      </c>
      <c r="E65" s="76"/>
      <c r="F65" s="89"/>
    </row>
    <row r="66" spans="1:6" ht="18.5" x14ac:dyDescent="0.35">
      <c r="A66" s="70" t="s">
        <v>114</v>
      </c>
      <c r="B66" s="75" t="s">
        <v>115</v>
      </c>
      <c r="C66" s="76" t="s">
        <v>109</v>
      </c>
      <c r="D66" s="86">
        <f>(4.4*21.9)*1.2</f>
        <v>115.63199999999999</v>
      </c>
      <c r="E66" s="78"/>
      <c r="F66" s="79"/>
    </row>
    <row r="67" spans="1:6" ht="18.5" x14ac:dyDescent="0.35">
      <c r="A67" s="70" t="s">
        <v>116</v>
      </c>
      <c r="B67" s="75" t="s">
        <v>117</v>
      </c>
      <c r="C67" s="76" t="s">
        <v>93</v>
      </c>
      <c r="D67" s="86">
        <f>(0.15*0.15*4)*6*1.2</f>
        <v>0.64800000000000002</v>
      </c>
      <c r="E67" s="78"/>
      <c r="F67" s="79"/>
    </row>
    <row r="68" spans="1:6" ht="18.5" x14ac:dyDescent="0.35">
      <c r="A68" s="70" t="s">
        <v>118</v>
      </c>
      <c r="B68" s="75" t="s">
        <v>119</v>
      </c>
      <c r="C68" s="76" t="s">
        <v>93</v>
      </c>
      <c r="D68" s="86">
        <f>(21.9*0.15*0.1)*1.2</f>
        <v>0.39419999999999999</v>
      </c>
      <c r="E68" s="78"/>
      <c r="F68" s="79"/>
    </row>
    <row r="69" spans="1:6" ht="18.5" x14ac:dyDescent="0.35">
      <c r="A69" s="70" t="s">
        <v>120</v>
      </c>
      <c r="B69" s="75" t="s">
        <v>121</v>
      </c>
      <c r="C69" s="76" t="s">
        <v>93</v>
      </c>
      <c r="D69" s="86">
        <f>(21.9*0.15*0.2)*1.2</f>
        <v>0.78839999999999999</v>
      </c>
      <c r="E69" s="78"/>
      <c r="F69" s="79"/>
    </row>
    <row r="70" spans="1:6" ht="18.5" x14ac:dyDescent="0.35">
      <c r="A70" s="70" t="s">
        <v>151</v>
      </c>
      <c r="B70" s="75" t="s">
        <v>119</v>
      </c>
      <c r="C70" s="76" t="s">
        <v>93</v>
      </c>
      <c r="D70" s="86">
        <f>(21.9*0.15*0.1)*1.2</f>
        <v>0.39419999999999999</v>
      </c>
      <c r="E70" s="78"/>
      <c r="F70" s="79"/>
    </row>
    <row r="71" spans="1:6" ht="18.5" x14ac:dyDescent="0.35">
      <c r="A71" s="70" t="s">
        <v>152</v>
      </c>
      <c r="B71" s="75" t="s">
        <v>153</v>
      </c>
      <c r="C71" s="76" t="s">
        <v>93</v>
      </c>
      <c r="D71" s="86">
        <f>(21.9*0.15*0.2)*1.2</f>
        <v>0.78839999999999999</v>
      </c>
      <c r="E71" s="78"/>
      <c r="F71" s="79"/>
    </row>
    <row r="72" spans="1:6" ht="18.5" x14ac:dyDescent="0.35">
      <c r="A72" s="70" t="s">
        <v>154</v>
      </c>
      <c r="B72" s="75" t="s">
        <v>155</v>
      </c>
      <c r="C72" s="76" t="s">
        <v>93</v>
      </c>
      <c r="D72" s="86">
        <f>+(3.3*0.3*0.1)*1.2</f>
        <v>0.11879999999999999</v>
      </c>
      <c r="E72" s="78"/>
      <c r="F72" s="79"/>
    </row>
    <row r="73" spans="1:6" ht="15" x14ac:dyDescent="0.35">
      <c r="A73" s="70" t="s">
        <v>70</v>
      </c>
      <c r="B73" s="71" t="s">
        <v>122</v>
      </c>
      <c r="C73" s="72" t="s">
        <v>70</v>
      </c>
      <c r="D73" s="73" t="s">
        <v>70</v>
      </c>
      <c r="E73" s="72"/>
      <c r="F73" s="87"/>
    </row>
    <row r="74" spans="1:6" ht="15.5" x14ac:dyDescent="0.35">
      <c r="A74" s="70" t="s">
        <v>81</v>
      </c>
      <c r="B74" s="71" t="s">
        <v>156</v>
      </c>
      <c r="C74" s="76" t="s">
        <v>84</v>
      </c>
      <c r="D74" s="85" t="s">
        <v>70</v>
      </c>
      <c r="E74" s="76"/>
      <c r="F74" s="89"/>
    </row>
    <row r="75" spans="1:6" ht="31" x14ac:dyDescent="0.35">
      <c r="A75" s="70" t="s">
        <v>135</v>
      </c>
      <c r="B75" s="75" t="s">
        <v>157</v>
      </c>
      <c r="C75" s="76" t="s">
        <v>109</v>
      </c>
      <c r="D75" s="77">
        <f>(15.18+6.435)*1.2</f>
        <v>25.937999999999999</v>
      </c>
      <c r="E75" s="78"/>
      <c r="F75" s="79"/>
    </row>
    <row r="76" spans="1:6" ht="31" x14ac:dyDescent="0.35">
      <c r="A76" s="70" t="s">
        <v>158</v>
      </c>
      <c r="B76" s="75" t="s">
        <v>159</v>
      </c>
      <c r="C76" s="76" t="s">
        <v>90</v>
      </c>
      <c r="D76" s="77">
        <v>0</v>
      </c>
      <c r="E76" s="78"/>
      <c r="F76" s="79"/>
    </row>
    <row r="77" spans="1:6" ht="31" x14ac:dyDescent="0.35">
      <c r="A77" s="70" t="s">
        <v>160</v>
      </c>
      <c r="B77" s="75" t="s">
        <v>161</v>
      </c>
      <c r="C77" s="76" t="s">
        <v>90</v>
      </c>
      <c r="D77" s="77">
        <f>(3.3*6)*1.2</f>
        <v>23.759999999999994</v>
      </c>
      <c r="E77" s="78"/>
      <c r="F77" s="79"/>
    </row>
    <row r="78" spans="1:6" ht="18.5" x14ac:dyDescent="0.35">
      <c r="A78" s="70" t="s">
        <v>162</v>
      </c>
      <c r="B78" s="75" t="s">
        <v>163</v>
      </c>
      <c r="C78" s="76" t="s">
        <v>109</v>
      </c>
      <c r="D78" s="77">
        <f>12.15*1.2</f>
        <v>14.58</v>
      </c>
      <c r="E78" s="78"/>
      <c r="F78" s="79"/>
    </row>
    <row r="79" spans="1:6" ht="15" x14ac:dyDescent="0.35">
      <c r="A79" s="70" t="s">
        <v>70</v>
      </c>
      <c r="B79" s="71" t="s">
        <v>137</v>
      </c>
      <c r="C79" s="72" t="s">
        <v>70</v>
      </c>
      <c r="D79" s="73" t="s">
        <v>70</v>
      </c>
      <c r="E79" s="72"/>
      <c r="F79" s="87"/>
    </row>
    <row r="80" spans="1:6" ht="15.5" x14ac:dyDescent="0.35">
      <c r="A80" s="70" t="s">
        <v>164</v>
      </c>
      <c r="B80" s="71" t="s">
        <v>134</v>
      </c>
      <c r="C80" s="76" t="s">
        <v>84</v>
      </c>
      <c r="D80" s="85" t="s">
        <v>70</v>
      </c>
      <c r="E80" s="76"/>
      <c r="F80" s="89"/>
    </row>
    <row r="81" spans="1:6" ht="31" x14ac:dyDescent="0.35">
      <c r="A81" s="70" t="s">
        <v>165</v>
      </c>
      <c r="B81" s="75" t="s">
        <v>166</v>
      </c>
      <c r="C81" s="76" t="s">
        <v>2</v>
      </c>
      <c r="D81" s="77">
        <v>0</v>
      </c>
      <c r="E81" s="78"/>
      <c r="F81" s="79"/>
    </row>
    <row r="82" spans="1:6" ht="31" x14ac:dyDescent="0.35">
      <c r="A82" s="70" t="s">
        <v>165</v>
      </c>
      <c r="B82" s="75" t="s">
        <v>167</v>
      </c>
      <c r="C82" s="76" t="s">
        <v>2</v>
      </c>
      <c r="D82" s="77">
        <v>1</v>
      </c>
      <c r="E82" s="78"/>
      <c r="F82" s="79"/>
    </row>
    <row r="83" spans="1:6" ht="31" x14ac:dyDescent="0.35">
      <c r="A83" s="70" t="s">
        <v>168</v>
      </c>
      <c r="B83" s="75" t="s">
        <v>169</v>
      </c>
      <c r="C83" s="76" t="s">
        <v>2</v>
      </c>
      <c r="D83" s="77">
        <v>1</v>
      </c>
      <c r="E83" s="78"/>
      <c r="F83" s="79"/>
    </row>
    <row r="84" spans="1:6" ht="31" x14ac:dyDescent="0.35">
      <c r="A84" s="70" t="s">
        <v>170</v>
      </c>
      <c r="B84" s="75" t="s">
        <v>171</v>
      </c>
      <c r="C84" s="76" t="s">
        <v>2</v>
      </c>
      <c r="D84" s="77">
        <v>2</v>
      </c>
      <c r="E84" s="78"/>
      <c r="F84" s="79"/>
    </row>
    <row r="85" spans="1:6" ht="15" x14ac:dyDescent="0.35">
      <c r="A85" s="70" t="s">
        <v>70</v>
      </c>
      <c r="B85" s="71" t="s">
        <v>172</v>
      </c>
      <c r="C85" s="72" t="s">
        <v>70</v>
      </c>
      <c r="D85" s="73" t="s">
        <v>70</v>
      </c>
      <c r="E85" s="72"/>
      <c r="F85" s="87"/>
    </row>
    <row r="86" spans="1:6" ht="15.5" x14ac:dyDescent="0.35">
      <c r="A86" s="70" t="s">
        <v>123</v>
      </c>
      <c r="B86" s="71" t="s">
        <v>124</v>
      </c>
      <c r="C86" s="76" t="s">
        <v>84</v>
      </c>
      <c r="D86" s="86" t="s">
        <v>84</v>
      </c>
      <c r="E86" s="76"/>
      <c r="F86" s="89"/>
    </row>
    <row r="87" spans="1:6" ht="18.5" x14ac:dyDescent="0.35">
      <c r="A87" s="70" t="s">
        <v>125</v>
      </c>
      <c r="B87" s="75" t="s">
        <v>126</v>
      </c>
      <c r="C87" s="76" t="s">
        <v>109</v>
      </c>
      <c r="D87" s="77">
        <f>(23.1*3.65)*1.2</f>
        <v>101.178</v>
      </c>
      <c r="E87" s="78"/>
      <c r="F87" s="79"/>
    </row>
    <row r="88" spans="1:6" ht="18.5" x14ac:dyDescent="0.35">
      <c r="A88" s="70" t="s">
        <v>173</v>
      </c>
      <c r="B88" s="75" t="s">
        <v>128</v>
      </c>
      <c r="C88" s="76" t="s">
        <v>109</v>
      </c>
      <c r="D88" s="77">
        <f>(18.6*5.3)*1.2</f>
        <v>118.29599999999999</v>
      </c>
      <c r="E88" s="78"/>
      <c r="F88" s="79"/>
    </row>
    <row r="89" spans="1:6" ht="18.5" x14ac:dyDescent="0.35">
      <c r="A89" s="70" t="s">
        <v>174</v>
      </c>
      <c r="B89" s="75" t="s">
        <v>130</v>
      </c>
      <c r="C89" s="76" t="s">
        <v>109</v>
      </c>
      <c r="D89" s="77">
        <f>+D87</f>
        <v>101.178</v>
      </c>
      <c r="E89" s="78"/>
      <c r="F89" s="79"/>
    </row>
    <row r="90" spans="1:6" ht="18.5" x14ac:dyDescent="0.35">
      <c r="A90" s="70" t="s">
        <v>131</v>
      </c>
      <c r="B90" s="75" t="s">
        <v>132</v>
      </c>
      <c r="C90" s="76" t="s">
        <v>109</v>
      </c>
      <c r="D90" s="77">
        <f>+D88</f>
        <v>118.29599999999999</v>
      </c>
      <c r="E90" s="78"/>
      <c r="F90" s="79"/>
    </row>
    <row r="91" spans="1:6" ht="18.5" x14ac:dyDescent="0.35">
      <c r="A91" s="70" t="s">
        <v>175</v>
      </c>
      <c r="B91" s="75" t="s">
        <v>176</v>
      </c>
      <c r="C91" s="76" t="s">
        <v>109</v>
      </c>
      <c r="D91" s="77">
        <f>+D78</f>
        <v>14.58</v>
      </c>
      <c r="E91" s="78"/>
      <c r="F91" s="79"/>
    </row>
    <row r="92" spans="1:6" ht="18.5" x14ac:dyDescent="0.35">
      <c r="A92" s="70" t="s">
        <v>177</v>
      </c>
      <c r="B92" s="75" t="s">
        <v>178</v>
      </c>
      <c r="C92" s="76" t="s">
        <v>109</v>
      </c>
      <c r="D92" s="77">
        <f>16.65*1.2</f>
        <v>19.979999999999997</v>
      </c>
      <c r="E92" s="78"/>
      <c r="F92" s="79"/>
    </row>
    <row r="93" spans="1:6" ht="15" x14ac:dyDescent="0.35">
      <c r="A93" s="70" t="s">
        <v>70</v>
      </c>
      <c r="B93" s="71" t="s">
        <v>133</v>
      </c>
      <c r="C93" s="72" t="s">
        <v>70</v>
      </c>
      <c r="D93" s="73" t="s">
        <v>70</v>
      </c>
      <c r="E93" s="72"/>
      <c r="F93" s="87"/>
    </row>
    <row r="94" spans="1:6" ht="15.5" x14ac:dyDescent="0.35">
      <c r="A94" s="70" t="s">
        <v>179</v>
      </c>
      <c r="B94" s="71" t="s">
        <v>180</v>
      </c>
      <c r="C94" s="76" t="s">
        <v>84</v>
      </c>
      <c r="D94" s="86" t="s">
        <v>84</v>
      </c>
      <c r="E94" s="76"/>
      <c r="F94" s="89"/>
    </row>
    <row r="95" spans="1:6" ht="31" x14ac:dyDescent="0.35">
      <c r="A95" s="95" t="s">
        <v>181</v>
      </c>
      <c r="B95" s="96" t="s">
        <v>182</v>
      </c>
      <c r="C95" s="97" t="s">
        <v>183</v>
      </c>
      <c r="D95" s="98">
        <v>1</v>
      </c>
      <c r="E95" s="99"/>
      <c r="F95" s="100"/>
    </row>
    <row r="96" spans="1:6" ht="15.5" x14ac:dyDescent="0.35">
      <c r="A96" s="95" t="s">
        <v>184</v>
      </c>
      <c r="B96" s="96" t="s">
        <v>185</v>
      </c>
      <c r="C96" s="97" t="s">
        <v>2</v>
      </c>
      <c r="D96" s="98">
        <v>3</v>
      </c>
      <c r="E96" s="99"/>
      <c r="F96" s="100"/>
    </row>
    <row r="97" spans="1:6" ht="15.5" x14ac:dyDescent="0.35">
      <c r="A97" s="95" t="s">
        <v>186</v>
      </c>
      <c r="B97" s="96" t="s">
        <v>187</v>
      </c>
      <c r="C97" s="97" t="s">
        <v>2</v>
      </c>
      <c r="D97" s="98">
        <v>3</v>
      </c>
      <c r="E97" s="99"/>
      <c r="F97" s="100"/>
    </row>
    <row r="98" spans="1:6" ht="15.5" x14ac:dyDescent="0.35">
      <c r="A98" s="95" t="s">
        <v>188</v>
      </c>
      <c r="B98" s="96" t="s">
        <v>189</v>
      </c>
      <c r="C98" s="97" t="s">
        <v>2</v>
      </c>
      <c r="D98" s="98">
        <v>2</v>
      </c>
      <c r="E98" s="99"/>
      <c r="F98" s="100"/>
    </row>
    <row r="99" spans="1:6" ht="15.5" x14ac:dyDescent="0.35">
      <c r="A99" s="95" t="s">
        <v>190</v>
      </c>
      <c r="B99" s="96" t="s">
        <v>191</v>
      </c>
      <c r="C99" s="97" t="s">
        <v>2</v>
      </c>
      <c r="D99" s="98">
        <v>1</v>
      </c>
      <c r="E99" s="99"/>
      <c r="F99" s="100"/>
    </row>
    <row r="100" spans="1:6" ht="15" x14ac:dyDescent="0.35">
      <c r="A100" s="95" t="s">
        <v>70</v>
      </c>
      <c r="B100" s="101" t="s">
        <v>192</v>
      </c>
      <c r="C100" s="102" t="s">
        <v>70</v>
      </c>
      <c r="D100" s="103" t="s">
        <v>70</v>
      </c>
      <c r="E100" s="102"/>
      <c r="F100" s="104"/>
    </row>
    <row r="101" spans="1:6" ht="15.5" x14ac:dyDescent="0.35">
      <c r="A101" s="80" t="s">
        <v>70</v>
      </c>
      <c r="B101" s="81" t="s">
        <v>193</v>
      </c>
      <c r="C101" s="82" t="s">
        <v>84</v>
      </c>
      <c r="D101" s="83" t="s">
        <v>84</v>
      </c>
      <c r="E101" s="82"/>
      <c r="F101" s="84"/>
    </row>
    <row r="102" spans="1:6" x14ac:dyDescent="0.35">
      <c r="A102" s="61"/>
      <c r="B102" s="62"/>
      <c r="F102" s="64"/>
    </row>
    <row r="103" spans="1:6" ht="15" x14ac:dyDescent="0.35">
      <c r="A103" s="65" t="s">
        <v>194</v>
      </c>
      <c r="B103" s="177" t="s">
        <v>195</v>
      </c>
      <c r="C103" s="177"/>
      <c r="D103" s="177"/>
      <c r="E103" s="177"/>
      <c r="F103" s="178"/>
    </row>
    <row r="104" spans="1:6" ht="30" x14ac:dyDescent="0.35">
      <c r="A104" s="70" t="s">
        <v>71</v>
      </c>
      <c r="B104" s="71" t="s">
        <v>72</v>
      </c>
      <c r="C104" s="72" t="s">
        <v>73</v>
      </c>
      <c r="D104" s="73" t="s">
        <v>74</v>
      </c>
      <c r="E104" s="72" t="s">
        <v>75</v>
      </c>
      <c r="F104" s="74" t="s">
        <v>76</v>
      </c>
    </row>
    <row r="105" spans="1:6" ht="15.5" x14ac:dyDescent="0.35">
      <c r="A105" s="70" t="s">
        <v>77</v>
      </c>
      <c r="B105" s="71" t="s">
        <v>87</v>
      </c>
      <c r="C105" s="76" t="s">
        <v>84</v>
      </c>
      <c r="D105" s="85" t="s">
        <v>70</v>
      </c>
      <c r="E105" s="76" t="s">
        <v>84</v>
      </c>
      <c r="F105" s="74" t="s">
        <v>84</v>
      </c>
    </row>
    <row r="106" spans="1:6" ht="18.5" x14ac:dyDescent="0.35">
      <c r="A106" s="70" t="s">
        <v>88</v>
      </c>
      <c r="B106" s="75" t="s">
        <v>89</v>
      </c>
      <c r="C106" s="76" t="s">
        <v>109</v>
      </c>
      <c r="D106" s="86">
        <f>(6.3+2)*(4.3+2)</f>
        <v>52.290000000000006</v>
      </c>
      <c r="E106" s="78"/>
      <c r="F106" s="79"/>
    </row>
    <row r="107" spans="1:6" ht="18.5" x14ac:dyDescent="0.35">
      <c r="A107" s="70" t="s">
        <v>91</v>
      </c>
      <c r="B107" s="75" t="s">
        <v>92</v>
      </c>
      <c r="C107" s="76" t="s">
        <v>93</v>
      </c>
      <c r="D107" s="86">
        <f>(10.6*0.4*0.6)*1.2</f>
        <v>3.0528</v>
      </c>
      <c r="E107" s="78"/>
      <c r="F107" s="79"/>
    </row>
    <row r="108" spans="1:6" ht="18.5" x14ac:dyDescent="0.35">
      <c r="A108" s="70" t="s">
        <v>94</v>
      </c>
      <c r="B108" s="75" t="s">
        <v>95</v>
      </c>
      <c r="C108" s="76" t="s">
        <v>93</v>
      </c>
      <c r="D108" s="86">
        <f>(0.6*0.6*1.2)*4*1.2</f>
        <v>2.0735999999999999</v>
      </c>
      <c r="E108" s="78"/>
      <c r="F108" s="79"/>
    </row>
    <row r="109" spans="1:6" ht="18.5" x14ac:dyDescent="0.35">
      <c r="A109" s="70" t="s">
        <v>96</v>
      </c>
      <c r="B109" s="75" t="s">
        <v>97</v>
      </c>
      <c r="C109" s="76" t="s">
        <v>93</v>
      </c>
      <c r="D109" s="86">
        <f>+D108+D107</f>
        <v>5.1264000000000003</v>
      </c>
      <c r="E109" s="78"/>
      <c r="F109" s="79"/>
    </row>
    <row r="110" spans="1:6" ht="18.5" x14ac:dyDescent="0.35">
      <c r="A110" s="70" t="s">
        <v>141</v>
      </c>
      <c r="B110" s="75" t="s">
        <v>142</v>
      </c>
      <c r="C110" s="76" t="s">
        <v>93</v>
      </c>
      <c r="D110" s="86">
        <f>((26.84*0.45)-D109*0.15)*1.2</f>
        <v>13.570848</v>
      </c>
      <c r="E110" s="78"/>
      <c r="F110" s="79"/>
    </row>
    <row r="111" spans="1:6" ht="15" x14ac:dyDescent="0.35">
      <c r="A111" s="70" t="s">
        <v>70</v>
      </c>
      <c r="B111" s="71" t="s">
        <v>98</v>
      </c>
      <c r="C111" s="72" t="s">
        <v>70</v>
      </c>
      <c r="D111" s="73" t="s">
        <v>70</v>
      </c>
      <c r="E111" s="72"/>
      <c r="F111" s="87"/>
    </row>
    <row r="112" spans="1:6" ht="15.5" x14ac:dyDescent="0.35">
      <c r="A112" s="70" t="s">
        <v>99</v>
      </c>
      <c r="B112" s="71" t="s">
        <v>100</v>
      </c>
      <c r="C112" s="72" t="s">
        <v>70</v>
      </c>
      <c r="D112" s="88" t="s">
        <v>70</v>
      </c>
      <c r="E112" s="72"/>
      <c r="F112" s="89"/>
    </row>
    <row r="113" spans="1:6" ht="18.5" x14ac:dyDescent="0.35">
      <c r="A113" s="70" t="s">
        <v>101</v>
      </c>
      <c r="B113" s="75" t="s">
        <v>102</v>
      </c>
      <c r="C113" s="76" t="s">
        <v>93</v>
      </c>
      <c r="D113" s="86">
        <f>((0.4*0.05*10.6)+(0.6*0.6*0.05)*4)*1.2</f>
        <v>0.34080000000000005</v>
      </c>
      <c r="E113" s="78"/>
      <c r="F113" s="79"/>
    </row>
    <row r="114" spans="1:6" ht="18.5" x14ac:dyDescent="0.35">
      <c r="A114" s="70" t="s">
        <v>143</v>
      </c>
      <c r="B114" s="75" t="s">
        <v>104</v>
      </c>
      <c r="C114" s="76" t="s">
        <v>93</v>
      </c>
      <c r="D114" s="86">
        <f>(0.6*0.6*0.25)*4*1.2</f>
        <v>0.432</v>
      </c>
      <c r="E114" s="78"/>
      <c r="F114" s="79"/>
    </row>
    <row r="115" spans="1:6" ht="18.5" x14ac:dyDescent="0.35">
      <c r="A115" s="70" t="s">
        <v>144</v>
      </c>
      <c r="B115" s="75" t="s">
        <v>106</v>
      </c>
      <c r="C115" s="76" t="s">
        <v>93</v>
      </c>
      <c r="D115" s="86">
        <f>(0.2*0.2*1.5)*4*1.2</f>
        <v>0.28800000000000003</v>
      </c>
      <c r="E115" s="78"/>
      <c r="F115" s="79"/>
    </row>
    <row r="116" spans="1:6" ht="31" x14ac:dyDescent="0.35">
      <c r="A116" s="70" t="s">
        <v>145</v>
      </c>
      <c r="B116" s="75" t="s">
        <v>108</v>
      </c>
      <c r="C116" s="76" t="s">
        <v>109</v>
      </c>
      <c r="D116" s="86">
        <f>(10.6*1.05)*1.2</f>
        <v>13.356</v>
      </c>
      <c r="E116" s="78"/>
      <c r="F116" s="79"/>
    </row>
    <row r="117" spans="1:6" ht="18.5" x14ac:dyDescent="0.35">
      <c r="A117" s="70" t="s">
        <v>146</v>
      </c>
      <c r="B117" s="75" t="s">
        <v>111</v>
      </c>
      <c r="C117" s="76" t="s">
        <v>93</v>
      </c>
      <c r="D117" s="86">
        <f>(0.2*0.2*10.6)*1.2</f>
        <v>0.50880000000000003</v>
      </c>
      <c r="E117" s="78"/>
      <c r="F117" s="79"/>
    </row>
    <row r="118" spans="1:6" ht="18.5" x14ac:dyDescent="0.35">
      <c r="A118" s="70" t="s">
        <v>147</v>
      </c>
      <c r="B118" s="75" t="s">
        <v>148</v>
      </c>
      <c r="C118" s="76" t="s">
        <v>93</v>
      </c>
      <c r="D118" s="86">
        <f>(1.06*3*0.15)*1.2</f>
        <v>0.57239999999999991</v>
      </c>
      <c r="E118" s="78"/>
      <c r="F118" s="79"/>
    </row>
    <row r="119" spans="1:6" ht="18.5" x14ac:dyDescent="0.35">
      <c r="A119" s="70" t="s">
        <v>149</v>
      </c>
      <c r="B119" s="75" t="s">
        <v>196</v>
      </c>
      <c r="C119" s="76" t="s">
        <v>93</v>
      </c>
      <c r="D119" s="86">
        <f>23.7*0.1*1.2</f>
        <v>2.8439999999999999</v>
      </c>
      <c r="E119" s="78"/>
      <c r="F119" s="79"/>
    </row>
    <row r="120" spans="1:6" ht="31" x14ac:dyDescent="0.35">
      <c r="A120" s="70" t="s">
        <v>149</v>
      </c>
      <c r="B120" s="75" t="s">
        <v>197</v>
      </c>
      <c r="C120" s="76" t="s">
        <v>93</v>
      </c>
      <c r="D120" s="86">
        <f>7.5*0.1*1.2</f>
        <v>0.89999999999999991</v>
      </c>
      <c r="E120" s="78"/>
      <c r="F120" s="79"/>
    </row>
    <row r="121" spans="1:6" ht="15" x14ac:dyDescent="0.35">
      <c r="A121" s="70" t="s">
        <v>70</v>
      </c>
      <c r="B121" s="71" t="s">
        <v>112</v>
      </c>
      <c r="C121" s="72" t="s">
        <v>70</v>
      </c>
      <c r="D121" s="73" t="s">
        <v>70</v>
      </c>
      <c r="E121" s="72"/>
      <c r="F121" s="87"/>
    </row>
    <row r="122" spans="1:6" ht="15.5" x14ac:dyDescent="0.35">
      <c r="A122" s="70" t="s">
        <v>79</v>
      </c>
      <c r="B122" s="71" t="s">
        <v>113</v>
      </c>
      <c r="C122" s="76" t="s">
        <v>84</v>
      </c>
      <c r="D122" s="85" t="s">
        <v>70</v>
      </c>
      <c r="E122" s="76"/>
      <c r="F122" s="89"/>
    </row>
    <row r="123" spans="1:6" ht="18.5" x14ac:dyDescent="0.35">
      <c r="A123" s="70" t="s">
        <v>114</v>
      </c>
      <c r="B123" s="75" t="s">
        <v>115</v>
      </c>
      <c r="C123" s="76" t="s">
        <v>109</v>
      </c>
      <c r="D123" s="86">
        <f>(4.65*10.6)*1.2</f>
        <v>59.147999999999996</v>
      </c>
      <c r="E123" s="78"/>
      <c r="F123" s="79"/>
    </row>
    <row r="124" spans="1:6" ht="18.5" x14ac:dyDescent="0.35">
      <c r="A124" s="70" t="s">
        <v>116</v>
      </c>
      <c r="B124" s="75" t="s">
        <v>117</v>
      </c>
      <c r="C124" s="76" t="s">
        <v>93</v>
      </c>
      <c r="D124" s="86">
        <f>(0.15*0.15*4.65)*4*1.2</f>
        <v>0.50219999999999998</v>
      </c>
      <c r="E124" s="78"/>
      <c r="F124" s="79"/>
    </row>
    <row r="125" spans="1:6" ht="18.5" x14ac:dyDescent="0.35">
      <c r="A125" s="70" t="s">
        <v>118</v>
      </c>
      <c r="B125" s="75" t="s">
        <v>119</v>
      </c>
      <c r="C125" s="76" t="s">
        <v>93</v>
      </c>
      <c r="D125" s="86">
        <f>(10.6*0.15*0.1)*1.2</f>
        <v>0.1908</v>
      </c>
      <c r="E125" s="78"/>
      <c r="F125" s="79"/>
    </row>
    <row r="126" spans="1:6" ht="18.5" x14ac:dyDescent="0.35">
      <c r="A126" s="70" t="s">
        <v>120</v>
      </c>
      <c r="B126" s="75" t="s">
        <v>121</v>
      </c>
      <c r="C126" s="76" t="s">
        <v>93</v>
      </c>
      <c r="D126" s="86">
        <f>(10.6*0.15*0.2)*1.2</f>
        <v>0.38159999999999999</v>
      </c>
      <c r="E126" s="78"/>
      <c r="F126" s="79"/>
    </row>
    <row r="127" spans="1:6" ht="18.5" x14ac:dyDescent="0.35">
      <c r="A127" s="70" t="s">
        <v>151</v>
      </c>
      <c r="B127" s="75" t="s">
        <v>119</v>
      </c>
      <c r="C127" s="76" t="s">
        <v>93</v>
      </c>
      <c r="D127" s="86">
        <f>(10.6*0.15*0.1)*1.2</f>
        <v>0.1908</v>
      </c>
      <c r="E127" s="78"/>
      <c r="F127" s="79"/>
    </row>
    <row r="128" spans="1:6" ht="18.5" x14ac:dyDescent="0.35">
      <c r="A128" s="70" t="s">
        <v>152</v>
      </c>
      <c r="B128" s="75" t="s">
        <v>153</v>
      </c>
      <c r="C128" s="76" t="s">
        <v>93</v>
      </c>
      <c r="D128" s="86">
        <f>(10.6*0.15*0.4)*1.2</f>
        <v>0.76319999999999999</v>
      </c>
      <c r="E128" s="78"/>
      <c r="F128" s="79"/>
    </row>
    <row r="129" spans="1:6" ht="18.5" x14ac:dyDescent="0.35">
      <c r="A129" s="70" t="s">
        <v>154</v>
      </c>
      <c r="B129" s="75" t="s">
        <v>155</v>
      </c>
      <c r="C129" s="76" t="s">
        <v>93</v>
      </c>
      <c r="D129" s="86">
        <v>0</v>
      </c>
      <c r="E129" s="78"/>
      <c r="F129" s="79"/>
    </row>
    <row r="130" spans="1:6" ht="15" x14ac:dyDescent="0.35">
      <c r="A130" s="70" t="s">
        <v>70</v>
      </c>
      <c r="B130" s="71" t="s">
        <v>122</v>
      </c>
      <c r="C130" s="72" t="s">
        <v>70</v>
      </c>
      <c r="D130" s="73" t="s">
        <v>70</v>
      </c>
      <c r="E130" s="72"/>
      <c r="F130" s="87"/>
    </row>
    <row r="131" spans="1:6" ht="15.5" x14ac:dyDescent="0.35">
      <c r="A131" s="70" t="s">
        <v>81</v>
      </c>
      <c r="B131" s="71" t="s">
        <v>156</v>
      </c>
      <c r="C131" s="76" t="s">
        <v>84</v>
      </c>
      <c r="D131" s="85" t="s">
        <v>70</v>
      </c>
      <c r="E131" s="76"/>
      <c r="F131" s="89"/>
    </row>
    <row r="132" spans="1:6" ht="31" x14ac:dyDescent="0.35">
      <c r="A132" s="70" t="s">
        <v>135</v>
      </c>
      <c r="B132" s="75" t="s">
        <v>198</v>
      </c>
      <c r="C132" s="76" t="s">
        <v>199</v>
      </c>
      <c r="D132" s="86">
        <f>(4.65*6.3)*1.2</f>
        <v>35.154000000000003</v>
      </c>
      <c r="E132" s="78"/>
      <c r="F132" s="79"/>
    </row>
    <row r="133" spans="1:6" ht="31" x14ac:dyDescent="0.35">
      <c r="A133" s="70" t="s">
        <v>158</v>
      </c>
      <c r="B133" s="75" t="s">
        <v>159</v>
      </c>
      <c r="C133" s="76" t="s">
        <v>90</v>
      </c>
      <c r="D133" s="86">
        <f>4.3*1.2</f>
        <v>5.1599999999999993</v>
      </c>
      <c r="E133" s="78"/>
      <c r="F133" s="79"/>
    </row>
    <row r="134" spans="1:6" ht="31" x14ac:dyDescent="0.35">
      <c r="A134" s="70" t="s">
        <v>160</v>
      </c>
      <c r="B134" s="75" t="s">
        <v>161</v>
      </c>
      <c r="C134" s="76" t="s">
        <v>90</v>
      </c>
      <c r="D134" s="86">
        <f>6.3*4*1.2</f>
        <v>30.24</v>
      </c>
      <c r="E134" s="78"/>
      <c r="F134" s="79"/>
    </row>
    <row r="135" spans="1:6" ht="15.5" x14ac:dyDescent="0.35">
      <c r="A135" s="70" t="s">
        <v>162</v>
      </c>
      <c r="B135" s="75" t="s">
        <v>200</v>
      </c>
      <c r="C135" s="76" t="s">
        <v>199</v>
      </c>
      <c r="D135" s="86">
        <v>0</v>
      </c>
      <c r="E135" s="78"/>
      <c r="F135" s="79"/>
    </row>
    <row r="136" spans="1:6" ht="15" x14ac:dyDescent="0.35">
      <c r="A136" s="70" t="s">
        <v>70</v>
      </c>
      <c r="B136" s="71" t="s">
        <v>137</v>
      </c>
      <c r="C136" s="72" t="s">
        <v>70</v>
      </c>
      <c r="D136" s="73" t="s">
        <v>70</v>
      </c>
      <c r="E136" s="72"/>
      <c r="F136" s="87"/>
    </row>
    <row r="137" spans="1:6" ht="15.5" x14ac:dyDescent="0.35">
      <c r="A137" s="70" t="s">
        <v>164</v>
      </c>
      <c r="B137" s="71" t="s">
        <v>134</v>
      </c>
      <c r="C137" s="76" t="s">
        <v>84</v>
      </c>
      <c r="D137" s="85" t="s">
        <v>70</v>
      </c>
      <c r="E137" s="76"/>
      <c r="F137" s="89"/>
    </row>
    <row r="138" spans="1:6" ht="31" x14ac:dyDescent="0.35">
      <c r="A138" s="70" t="s">
        <v>165</v>
      </c>
      <c r="B138" s="75" t="s">
        <v>201</v>
      </c>
      <c r="C138" s="76" t="s">
        <v>2</v>
      </c>
      <c r="D138" s="77">
        <v>1</v>
      </c>
      <c r="E138" s="78"/>
      <c r="F138" s="79"/>
    </row>
    <row r="139" spans="1:6" ht="31" x14ac:dyDescent="0.35">
      <c r="A139" s="70" t="s">
        <v>168</v>
      </c>
      <c r="B139" s="75" t="s">
        <v>202</v>
      </c>
      <c r="C139" s="76" t="s">
        <v>2</v>
      </c>
      <c r="D139" s="77">
        <v>1</v>
      </c>
      <c r="E139" s="78"/>
      <c r="F139" s="79"/>
    </row>
    <row r="140" spans="1:6" ht="31" x14ac:dyDescent="0.35">
      <c r="A140" s="70" t="s">
        <v>170</v>
      </c>
      <c r="B140" s="75" t="s">
        <v>203</v>
      </c>
      <c r="C140" s="76" t="s">
        <v>2</v>
      </c>
      <c r="D140" s="77">
        <v>6</v>
      </c>
      <c r="E140" s="78"/>
      <c r="F140" s="79"/>
    </row>
    <row r="141" spans="1:6" ht="15" x14ac:dyDescent="0.35">
      <c r="A141" s="70" t="s">
        <v>70</v>
      </c>
      <c r="B141" s="71" t="s">
        <v>172</v>
      </c>
      <c r="C141" s="72" t="s">
        <v>70</v>
      </c>
      <c r="D141" s="73" t="s">
        <v>70</v>
      </c>
      <c r="E141" s="72"/>
      <c r="F141" s="87"/>
    </row>
    <row r="142" spans="1:6" ht="15.5" x14ac:dyDescent="0.35">
      <c r="A142" s="70" t="s">
        <v>123</v>
      </c>
      <c r="B142" s="71" t="s">
        <v>124</v>
      </c>
      <c r="C142" s="76" t="s">
        <v>84</v>
      </c>
      <c r="D142" s="86" t="s">
        <v>84</v>
      </c>
      <c r="E142" s="76"/>
      <c r="F142" s="89"/>
    </row>
    <row r="143" spans="1:6" ht="18.5" x14ac:dyDescent="0.35">
      <c r="A143" s="70" t="s">
        <v>125</v>
      </c>
      <c r="B143" s="75" t="s">
        <v>126</v>
      </c>
      <c r="C143" s="76" t="s">
        <v>109</v>
      </c>
      <c r="D143" s="86">
        <f>(21.1*3.65)*1.2</f>
        <v>92.417999999999992</v>
      </c>
      <c r="E143" s="78"/>
      <c r="F143" s="79"/>
    </row>
    <row r="144" spans="1:6" ht="18.5" x14ac:dyDescent="0.35">
      <c r="A144" s="70" t="s">
        <v>173</v>
      </c>
      <c r="B144" s="75" t="s">
        <v>128</v>
      </c>
      <c r="C144" s="76" t="s">
        <v>109</v>
      </c>
      <c r="D144" s="86">
        <f>(21.1*4.85)*1.2</f>
        <v>122.80199999999999</v>
      </c>
      <c r="E144" s="78"/>
      <c r="F144" s="79"/>
    </row>
    <row r="145" spans="1:6" ht="18.5" x14ac:dyDescent="0.35">
      <c r="A145" s="70" t="s">
        <v>174</v>
      </c>
      <c r="B145" s="75" t="s">
        <v>130</v>
      </c>
      <c r="C145" s="76" t="s">
        <v>109</v>
      </c>
      <c r="D145" s="86">
        <f>+D143</f>
        <v>92.417999999999992</v>
      </c>
      <c r="E145" s="78"/>
      <c r="F145" s="79"/>
    </row>
    <row r="146" spans="1:6" ht="18.5" x14ac:dyDescent="0.35">
      <c r="A146" s="70" t="s">
        <v>131</v>
      </c>
      <c r="B146" s="75" t="s">
        <v>132</v>
      </c>
      <c r="C146" s="76" t="s">
        <v>109</v>
      </c>
      <c r="D146" s="86">
        <f>+D144</f>
        <v>122.80199999999999</v>
      </c>
      <c r="E146" s="78"/>
      <c r="F146" s="79"/>
    </row>
    <row r="147" spans="1:6" ht="18.5" x14ac:dyDescent="0.35">
      <c r="A147" s="70" t="s">
        <v>175</v>
      </c>
      <c r="B147" s="75" t="s">
        <v>176</v>
      </c>
      <c r="C147" s="76" t="s">
        <v>109</v>
      </c>
      <c r="D147" s="86">
        <f>+D135</f>
        <v>0</v>
      </c>
      <c r="E147" s="78"/>
      <c r="F147" s="79"/>
    </row>
    <row r="148" spans="1:6" ht="18.5" x14ac:dyDescent="0.35">
      <c r="A148" s="70" t="s">
        <v>177</v>
      </c>
      <c r="B148" s="75" t="s">
        <v>178</v>
      </c>
      <c r="C148" s="76" t="s">
        <v>109</v>
      </c>
      <c r="D148" s="86">
        <v>0</v>
      </c>
      <c r="E148" s="78"/>
      <c r="F148" s="79"/>
    </row>
    <row r="149" spans="1:6" ht="15" x14ac:dyDescent="0.35">
      <c r="A149" s="70" t="s">
        <v>70</v>
      </c>
      <c r="B149" s="71" t="s">
        <v>133</v>
      </c>
      <c r="C149" s="72" t="s">
        <v>70</v>
      </c>
      <c r="D149" s="73" t="s">
        <v>70</v>
      </c>
      <c r="E149" s="72"/>
      <c r="F149" s="87"/>
    </row>
    <row r="150" spans="1:6" ht="15.5" x14ac:dyDescent="0.35">
      <c r="A150" s="70" t="s">
        <v>179</v>
      </c>
      <c r="B150" s="71" t="s">
        <v>180</v>
      </c>
      <c r="C150" s="76" t="s">
        <v>84</v>
      </c>
      <c r="D150" s="86" t="s">
        <v>84</v>
      </c>
      <c r="E150" s="76"/>
      <c r="F150" s="89"/>
    </row>
    <row r="151" spans="1:6" ht="31" x14ac:dyDescent="0.35">
      <c r="A151" s="70" t="s">
        <v>181</v>
      </c>
      <c r="B151" s="75" t="s">
        <v>204</v>
      </c>
      <c r="C151" s="76" t="s">
        <v>183</v>
      </c>
      <c r="D151" s="77">
        <v>1</v>
      </c>
      <c r="E151" s="78"/>
      <c r="F151" s="79"/>
    </row>
    <row r="152" spans="1:6" ht="15.5" x14ac:dyDescent="0.35">
      <c r="A152" s="70" t="s">
        <v>184</v>
      </c>
      <c r="B152" s="75" t="s">
        <v>185</v>
      </c>
      <c r="C152" s="76" t="s">
        <v>2</v>
      </c>
      <c r="D152" s="77">
        <v>1</v>
      </c>
      <c r="E152" s="78"/>
      <c r="F152" s="79"/>
    </row>
    <row r="153" spans="1:6" ht="15.5" x14ac:dyDescent="0.35">
      <c r="A153" s="70" t="s">
        <v>186</v>
      </c>
      <c r="B153" s="75" t="s">
        <v>187</v>
      </c>
      <c r="C153" s="76" t="s">
        <v>2</v>
      </c>
      <c r="D153" s="77">
        <v>1</v>
      </c>
      <c r="E153" s="78"/>
      <c r="F153" s="79"/>
    </row>
    <row r="154" spans="1:6" ht="15.5" x14ac:dyDescent="0.35">
      <c r="A154" s="70" t="s">
        <v>188</v>
      </c>
      <c r="B154" s="75" t="s">
        <v>189</v>
      </c>
      <c r="C154" s="76" t="s">
        <v>2</v>
      </c>
      <c r="D154" s="77">
        <v>1</v>
      </c>
      <c r="E154" s="78"/>
      <c r="F154" s="79"/>
    </row>
    <row r="155" spans="1:6" ht="15.5" x14ac:dyDescent="0.35">
      <c r="A155" s="70" t="s">
        <v>190</v>
      </c>
      <c r="B155" s="75" t="s">
        <v>191</v>
      </c>
      <c r="C155" s="76" t="s">
        <v>2</v>
      </c>
      <c r="D155" s="77">
        <v>0</v>
      </c>
      <c r="E155" s="78"/>
      <c r="F155" s="79"/>
    </row>
    <row r="156" spans="1:6" ht="15" x14ac:dyDescent="0.35">
      <c r="A156" s="70" t="s">
        <v>70</v>
      </c>
      <c r="B156" s="71" t="s">
        <v>192</v>
      </c>
      <c r="C156" s="72" t="s">
        <v>70</v>
      </c>
      <c r="D156" s="73" t="s">
        <v>70</v>
      </c>
      <c r="E156" s="72"/>
      <c r="F156" s="87"/>
    </row>
    <row r="157" spans="1:6" ht="15.5" x14ac:dyDescent="0.35">
      <c r="A157" s="80" t="s">
        <v>70</v>
      </c>
      <c r="B157" s="81" t="s">
        <v>205</v>
      </c>
      <c r="C157" s="82" t="s">
        <v>84</v>
      </c>
      <c r="D157" s="83" t="s">
        <v>84</v>
      </c>
      <c r="E157" s="82" t="s">
        <v>84</v>
      </c>
      <c r="F157" s="84">
        <f>F156+F149+F141+F136+F130+F121+F111</f>
        <v>0</v>
      </c>
    </row>
    <row r="158" spans="1:6" ht="15.5" x14ac:dyDescent="0.35">
      <c r="A158" s="90"/>
      <c r="B158" s="91"/>
      <c r="C158" s="92"/>
      <c r="D158" s="93"/>
      <c r="E158" s="92"/>
      <c r="F158" s="94"/>
    </row>
    <row r="159" spans="1:6" ht="15" x14ac:dyDescent="0.35">
      <c r="A159" s="65" t="s">
        <v>206</v>
      </c>
      <c r="B159" s="177" t="s">
        <v>207</v>
      </c>
      <c r="C159" s="177"/>
      <c r="D159" s="177"/>
      <c r="E159" s="177"/>
      <c r="F159" s="178"/>
    </row>
    <row r="160" spans="1:6" ht="30" x14ac:dyDescent="0.35">
      <c r="A160" s="70" t="s">
        <v>71</v>
      </c>
      <c r="B160" s="71" t="s">
        <v>72</v>
      </c>
      <c r="C160" s="72" t="s">
        <v>73</v>
      </c>
      <c r="D160" s="73" t="s">
        <v>74</v>
      </c>
      <c r="E160" s="72" t="s">
        <v>75</v>
      </c>
      <c r="F160" s="74" t="s">
        <v>76</v>
      </c>
    </row>
    <row r="161" spans="1:6" ht="15.5" x14ac:dyDescent="0.35">
      <c r="A161" s="70" t="s">
        <v>77</v>
      </c>
      <c r="B161" s="71" t="s">
        <v>87</v>
      </c>
      <c r="C161" s="76" t="s">
        <v>84</v>
      </c>
      <c r="D161" s="85" t="s">
        <v>70</v>
      </c>
      <c r="E161" s="76" t="s">
        <v>84</v>
      </c>
      <c r="F161" s="74" t="s">
        <v>84</v>
      </c>
    </row>
    <row r="162" spans="1:6" ht="18.5" x14ac:dyDescent="0.35">
      <c r="A162" s="70" t="s">
        <v>88</v>
      </c>
      <c r="B162" s="75" t="s">
        <v>89</v>
      </c>
      <c r="C162" s="76" t="s">
        <v>109</v>
      </c>
      <c r="D162" s="86">
        <f>(21.3+2)*(5.2+2)</f>
        <v>167.76000000000002</v>
      </c>
      <c r="E162" s="78"/>
      <c r="F162" s="79"/>
    </row>
    <row r="163" spans="1:6" ht="18.5" x14ac:dyDescent="0.35">
      <c r="A163" s="70" t="s">
        <v>91</v>
      </c>
      <c r="B163" s="75" t="s">
        <v>92</v>
      </c>
      <c r="C163" s="76" t="s">
        <v>93</v>
      </c>
      <c r="D163" s="86">
        <f>(58.2*0.4*0.6)*1.2</f>
        <v>16.761599999999998</v>
      </c>
      <c r="E163" s="78"/>
      <c r="F163" s="79"/>
    </row>
    <row r="164" spans="1:6" ht="18.5" x14ac:dyDescent="0.35">
      <c r="A164" s="70" t="s">
        <v>94</v>
      </c>
      <c r="B164" s="75" t="s">
        <v>95</v>
      </c>
      <c r="C164" s="76" t="s">
        <v>93</v>
      </c>
      <c r="D164" s="86">
        <f>(1.2*1.2*1.2)*17*1.2</f>
        <v>35.251199999999997</v>
      </c>
      <c r="E164" s="78"/>
      <c r="F164" s="79"/>
    </row>
    <row r="165" spans="1:6" ht="18.5" x14ac:dyDescent="0.35">
      <c r="A165" s="70" t="s">
        <v>96</v>
      </c>
      <c r="B165" s="75" t="s">
        <v>97</v>
      </c>
      <c r="C165" s="76" t="s">
        <v>93</v>
      </c>
      <c r="D165" s="86">
        <f>+D164+D163</f>
        <v>52.012799999999999</v>
      </c>
      <c r="E165" s="78"/>
      <c r="F165" s="79"/>
    </row>
    <row r="166" spans="1:6" ht="18.5" x14ac:dyDescent="0.35">
      <c r="A166" s="70" t="s">
        <v>141</v>
      </c>
      <c r="B166" s="75" t="s">
        <v>142</v>
      </c>
      <c r="C166" s="76" t="s">
        <v>93</v>
      </c>
      <c r="D166" s="86">
        <f>((109.15*0.45)-D165*0.15)*1.2</f>
        <v>49.578696000000015</v>
      </c>
      <c r="E166" s="78"/>
      <c r="F166" s="79"/>
    </row>
    <row r="167" spans="1:6" ht="15" x14ac:dyDescent="0.35">
      <c r="A167" s="70" t="s">
        <v>70</v>
      </c>
      <c r="B167" s="71" t="s">
        <v>98</v>
      </c>
      <c r="C167" s="72" t="s">
        <v>70</v>
      </c>
      <c r="D167" s="73" t="s">
        <v>70</v>
      </c>
      <c r="E167" s="72"/>
      <c r="F167" s="87"/>
    </row>
    <row r="168" spans="1:6" ht="15.5" x14ac:dyDescent="0.35">
      <c r="A168" s="70" t="s">
        <v>99</v>
      </c>
      <c r="B168" s="71" t="s">
        <v>100</v>
      </c>
      <c r="C168" s="72" t="s">
        <v>70</v>
      </c>
      <c r="D168" s="88" t="s">
        <v>70</v>
      </c>
      <c r="E168" s="72"/>
      <c r="F168" s="89"/>
    </row>
    <row r="169" spans="1:6" ht="18.5" x14ac:dyDescent="0.35">
      <c r="A169" s="70" t="s">
        <v>101</v>
      </c>
      <c r="B169" s="75" t="s">
        <v>102</v>
      </c>
      <c r="C169" s="76" t="s">
        <v>93</v>
      </c>
      <c r="D169" s="86">
        <f>((0.4*0.05*58.2)+(1.2*1.2*0.05)*17)*1.2</f>
        <v>2.8656000000000001</v>
      </c>
      <c r="E169" s="78"/>
      <c r="F169" s="79"/>
    </row>
    <row r="170" spans="1:6" ht="18.5" x14ac:dyDescent="0.35">
      <c r="A170" s="70" t="s">
        <v>143</v>
      </c>
      <c r="B170" s="75" t="s">
        <v>104</v>
      </c>
      <c r="C170" s="76" t="s">
        <v>93</v>
      </c>
      <c r="D170" s="86">
        <f>(1.2*1.2*0.25)*17*1.2</f>
        <v>7.3439999999999994</v>
      </c>
      <c r="E170" s="78"/>
      <c r="F170" s="79"/>
    </row>
    <row r="171" spans="1:6" ht="18.5" x14ac:dyDescent="0.35">
      <c r="A171" s="70" t="s">
        <v>144</v>
      </c>
      <c r="B171" s="75" t="s">
        <v>106</v>
      </c>
      <c r="C171" s="76" t="s">
        <v>93</v>
      </c>
      <c r="D171" s="86">
        <f>(0.2*0.2*1.5)*17*1.2</f>
        <v>1.2240000000000002</v>
      </c>
      <c r="E171" s="78"/>
      <c r="F171" s="79"/>
    </row>
    <row r="172" spans="1:6" ht="31" x14ac:dyDescent="0.35">
      <c r="A172" s="70" t="s">
        <v>145</v>
      </c>
      <c r="B172" s="75" t="s">
        <v>108</v>
      </c>
      <c r="C172" s="76" t="s">
        <v>109</v>
      </c>
      <c r="D172" s="86">
        <f>(58.2*1.05)*1.2</f>
        <v>73.332000000000008</v>
      </c>
      <c r="E172" s="78"/>
      <c r="F172" s="79"/>
    </row>
    <row r="173" spans="1:6" ht="18.5" x14ac:dyDescent="0.35">
      <c r="A173" s="70" t="s">
        <v>146</v>
      </c>
      <c r="B173" s="75" t="s">
        <v>111</v>
      </c>
      <c r="C173" s="76" t="s">
        <v>93</v>
      </c>
      <c r="D173" s="86">
        <f>(0.2*0.2*58.2)*1.2</f>
        <v>2.793600000000001</v>
      </c>
      <c r="E173" s="78"/>
      <c r="F173" s="79"/>
    </row>
    <row r="174" spans="1:6" ht="18.5" x14ac:dyDescent="0.35">
      <c r="A174" s="70" t="s">
        <v>147</v>
      </c>
      <c r="B174" s="75" t="s">
        <v>148</v>
      </c>
      <c r="C174" s="76" t="s">
        <v>93</v>
      </c>
      <c r="D174" s="86">
        <f>(3.6*0.3*3*0.15)*1.2</f>
        <v>0.58319999999999994</v>
      </c>
      <c r="E174" s="78"/>
      <c r="F174" s="79"/>
    </row>
    <row r="175" spans="1:6" ht="18.5" x14ac:dyDescent="0.35">
      <c r="A175" s="70" t="s">
        <v>149</v>
      </c>
      <c r="B175" s="75" t="s">
        <v>208</v>
      </c>
      <c r="C175" s="76" t="s">
        <v>93</v>
      </c>
      <c r="D175" s="86">
        <f>109.15*0.15*1.2</f>
        <v>19.646999999999998</v>
      </c>
      <c r="E175" s="78"/>
      <c r="F175" s="79"/>
    </row>
    <row r="176" spans="1:6" ht="15" x14ac:dyDescent="0.35">
      <c r="A176" s="70" t="s">
        <v>70</v>
      </c>
      <c r="B176" s="71" t="s">
        <v>112</v>
      </c>
      <c r="C176" s="72" t="s">
        <v>70</v>
      </c>
      <c r="D176" s="73" t="s">
        <v>70</v>
      </c>
      <c r="E176" s="72"/>
      <c r="F176" s="87"/>
    </row>
    <row r="177" spans="1:6" ht="15.5" x14ac:dyDescent="0.35">
      <c r="A177" s="70" t="s">
        <v>79</v>
      </c>
      <c r="B177" s="71" t="s">
        <v>113</v>
      </c>
      <c r="C177" s="76" t="s">
        <v>84</v>
      </c>
      <c r="D177" s="85" t="s">
        <v>70</v>
      </c>
      <c r="E177" s="76"/>
      <c r="F177" s="89"/>
    </row>
    <row r="178" spans="1:6" ht="18.5" x14ac:dyDescent="0.35">
      <c r="A178" s="70" t="s">
        <v>114</v>
      </c>
      <c r="B178" s="75" t="s">
        <v>115</v>
      </c>
      <c r="C178" s="76" t="s">
        <v>109</v>
      </c>
      <c r="D178" s="86">
        <f>(3.6*38.95)*1.2</f>
        <v>168.26400000000004</v>
      </c>
      <c r="E178" s="78"/>
      <c r="F178" s="79"/>
    </row>
    <row r="179" spans="1:6" ht="18.5" x14ac:dyDescent="0.35">
      <c r="A179" s="70" t="s">
        <v>116</v>
      </c>
      <c r="B179" s="75" t="s">
        <v>117</v>
      </c>
      <c r="C179" s="76" t="s">
        <v>93</v>
      </c>
      <c r="D179" s="86">
        <f>(0.2*0.2*3.8)*17*1.2</f>
        <v>3.1008000000000004</v>
      </c>
      <c r="E179" s="78"/>
      <c r="F179" s="79"/>
    </row>
    <row r="180" spans="1:6" ht="18.5" x14ac:dyDescent="0.35">
      <c r="A180" s="70" t="s">
        <v>118</v>
      </c>
      <c r="B180" s="75" t="s">
        <v>119</v>
      </c>
      <c r="C180" s="76" t="s">
        <v>93</v>
      </c>
      <c r="D180" s="86">
        <f>(38.95*0.15*0.1)*1.2</f>
        <v>0.70110000000000006</v>
      </c>
      <c r="E180" s="78"/>
      <c r="F180" s="79"/>
    </row>
    <row r="181" spans="1:6" ht="18.5" x14ac:dyDescent="0.35">
      <c r="A181" s="70" t="s">
        <v>120</v>
      </c>
      <c r="B181" s="75" t="s">
        <v>121</v>
      </c>
      <c r="C181" s="76" t="s">
        <v>93</v>
      </c>
      <c r="D181" s="86">
        <f>(38.95*0.15*0.2)*1.2</f>
        <v>1.4022000000000001</v>
      </c>
      <c r="E181" s="78"/>
      <c r="F181" s="79"/>
    </row>
    <row r="182" spans="1:6" ht="18.5" x14ac:dyDescent="0.35">
      <c r="A182" s="70" t="s">
        <v>152</v>
      </c>
      <c r="B182" s="75" t="s">
        <v>153</v>
      </c>
      <c r="C182" s="76" t="s">
        <v>93</v>
      </c>
      <c r="D182" s="86">
        <f>(58.2*0.2*0.2)*1.2</f>
        <v>2.7936000000000001</v>
      </c>
      <c r="E182" s="78"/>
      <c r="F182" s="79"/>
    </row>
    <row r="183" spans="1:6" ht="15" x14ac:dyDescent="0.35">
      <c r="A183" s="70" t="s">
        <v>70</v>
      </c>
      <c r="B183" s="71" t="s">
        <v>122</v>
      </c>
      <c r="C183" s="72" t="s">
        <v>70</v>
      </c>
      <c r="D183" s="73" t="s">
        <v>70</v>
      </c>
      <c r="E183" s="72"/>
      <c r="F183" s="87"/>
    </row>
    <row r="184" spans="1:6" ht="15.5" x14ac:dyDescent="0.35">
      <c r="A184" s="70" t="s">
        <v>81</v>
      </c>
      <c r="B184" s="71" t="s">
        <v>156</v>
      </c>
      <c r="C184" s="76" t="s">
        <v>84</v>
      </c>
      <c r="D184" s="85" t="s">
        <v>70</v>
      </c>
      <c r="E184" s="76"/>
      <c r="F184" s="89"/>
    </row>
    <row r="185" spans="1:6" ht="31" x14ac:dyDescent="0.35">
      <c r="A185" s="70" t="s">
        <v>135</v>
      </c>
      <c r="B185" s="75" t="s">
        <v>209</v>
      </c>
      <c r="C185" s="76" t="s">
        <v>199</v>
      </c>
      <c r="D185" s="77">
        <f>(127.44)*1.2</f>
        <v>152.928</v>
      </c>
      <c r="E185" s="78"/>
      <c r="F185" s="79"/>
    </row>
    <row r="186" spans="1:6" ht="31" x14ac:dyDescent="0.35">
      <c r="A186" s="70" t="s">
        <v>158</v>
      </c>
      <c r="B186" s="75" t="s">
        <v>210</v>
      </c>
      <c r="C186" s="76" t="s">
        <v>90</v>
      </c>
      <c r="D186" s="77">
        <f>26.4*7*1.2</f>
        <v>221.75999999999996</v>
      </c>
      <c r="E186" s="78"/>
      <c r="F186" s="79"/>
    </row>
    <row r="187" spans="1:6" ht="31" x14ac:dyDescent="0.35">
      <c r="A187" s="70" t="s">
        <v>160</v>
      </c>
      <c r="B187" s="75" t="s">
        <v>161</v>
      </c>
      <c r="C187" s="76" t="s">
        <v>90</v>
      </c>
      <c r="D187" s="77">
        <f>21.3*12*1.2</f>
        <v>306.72000000000003</v>
      </c>
      <c r="E187" s="78"/>
      <c r="F187" s="79"/>
    </row>
    <row r="188" spans="1:6" ht="15.5" x14ac:dyDescent="0.35">
      <c r="A188" s="70" t="s">
        <v>162</v>
      </c>
      <c r="B188" s="75" t="s">
        <v>200</v>
      </c>
      <c r="C188" s="76" t="s">
        <v>199</v>
      </c>
      <c r="D188" s="77">
        <v>0</v>
      </c>
      <c r="E188" s="78"/>
      <c r="F188" s="79"/>
    </row>
    <row r="189" spans="1:6" ht="15" x14ac:dyDescent="0.35">
      <c r="A189" s="70" t="s">
        <v>70</v>
      </c>
      <c r="B189" s="71" t="s">
        <v>137</v>
      </c>
      <c r="C189" s="72" t="s">
        <v>70</v>
      </c>
      <c r="D189" s="73" t="s">
        <v>70</v>
      </c>
      <c r="E189" s="72"/>
      <c r="F189" s="87"/>
    </row>
    <row r="190" spans="1:6" ht="15.5" x14ac:dyDescent="0.35">
      <c r="A190" s="70" t="s">
        <v>164</v>
      </c>
      <c r="B190" s="71" t="s">
        <v>134</v>
      </c>
      <c r="C190" s="76" t="s">
        <v>84</v>
      </c>
      <c r="D190" s="85" t="s">
        <v>70</v>
      </c>
      <c r="E190" s="76"/>
      <c r="F190" s="89"/>
    </row>
    <row r="191" spans="1:6" ht="31" x14ac:dyDescent="0.35">
      <c r="A191" s="70" t="s">
        <v>165</v>
      </c>
      <c r="B191" s="75" t="s">
        <v>167</v>
      </c>
      <c r="C191" s="76" t="s">
        <v>2</v>
      </c>
      <c r="D191" s="77">
        <v>1</v>
      </c>
      <c r="E191" s="78"/>
      <c r="F191" s="79"/>
    </row>
    <row r="192" spans="1:6" ht="31" x14ac:dyDescent="0.35">
      <c r="A192" s="70" t="s">
        <v>168</v>
      </c>
      <c r="B192" s="75" t="s">
        <v>211</v>
      </c>
      <c r="C192" s="76" t="s">
        <v>2</v>
      </c>
      <c r="D192" s="77">
        <v>1</v>
      </c>
      <c r="E192" s="78"/>
      <c r="F192" s="79"/>
    </row>
    <row r="193" spans="1:6" ht="31" x14ac:dyDescent="0.35">
      <c r="A193" s="70" t="s">
        <v>170</v>
      </c>
      <c r="B193" s="75" t="s">
        <v>169</v>
      </c>
      <c r="C193" s="76" t="s">
        <v>2</v>
      </c>
      <c r="D193" s="77">
        <v>2</v>
      </c>
      <c r="E193" s="78"/>
      <c r="F193" s="79"/>
    </row>
    <row r="194" spans="1:6" ht="15" x14ac:dyDescent="0.35">
      <c r="A194" s="70" t="s">
        <v>70</v>
      </c>
      <c r="B194" s="71" t="s">
        <v>172</v>
      </c>
      <c r="C194" s="72" t="s">
        <v>70</v>
      </c>
      <c r="D194" s="73" t="s">
        <v>70</v>
      </c>
      <c r="E194" s="72"/>
      <c r="F194" s="87"/>
    </row>
    <row r="195" spans="1:6" ht="15.5" x14ac:dyDescent="0.35">
      <c r="A195" s="70" t="s">
        <v>123</v>
      </c>
      <c r="B195" s="71" t="s">
        <v>124</v>
      </c>
      <c r="C195" s="76" t="s">
        <v>84</v>
      </c>
      <c r="D195" s="86" t="s">
        <v>84</v>
      </c>
      <c r="E195" s="76"/>
      <c r="F195" s="89"/>
    </row>
    <row r="196" spans="1:6" ht="18.5" x14ac:dyDescent="0.35">
      <c r="A196" s="70" t="s">
        <v>125</v>
      </c>
      <c r="B196" s="75" t="s">
        <v>126</v>
      </c>
      <c r="C196" s="76" t="s">
        <v>109</v>
      </c>
      <c r="D196" s="77">
        <f>(38.95*3.8)*1.2</f>
        <v>177.61199999999999</v>
      </c>
      <c r="E196" s="78"/>
      <c r="F196" s="79"/>
    </row>
    <row r="197" spans="1:6" ht="18.5" x14ac:dyDescent="0.35">
      <c r="A197" s="70" t="s">
        <v>127</v>
      </c>
      <c r="B197" s="75" t="s">
        <v>128</v>
      </c>
      <c r="C197" s="76" t="s">
        <v>109</v>
      </c>
      <c r="D197" s="77">
        <f>(38.95*4.25+13.9*0.45)*1.2</f>
        <v>206.15100000000001</v>
      </c>
      <c r="E197" s="78"/>
      <c r="F197" s="79"/>
    </row>
    <row r="198" spans="1:6" ht="18.5" x14ac:dyDescent="0.35">
      <c r="A198" s="70" t="s">
        <v>129</v>
      </c>
      <c r="B198" s="75" t="s">
        <v>130</v>
      </c>
      <c r="C198" s="76" t="s">
        <v>109</v>
      </c>
      <c r="D198" s="77">
        <f>+D196</f>
        <v>177.61199999999999</v>
      </c>
      <c r="E198" s="78"/>
      <c r="F198" s="79"/>
    </row>
    <row r="199" spans="1:6" ht="18.5" x14ac:dyDescent="0.35">
      <c r="A199" s="70" t="s">
        <v>131</v>
      </c>
      <c r="B199" s="75" t="s">
        <v>132</v>
      </c>
      <c r="C199" s="76" t="s">
        <v>109</v>
      </c>
      <c r="D199" s="77">
        <f>+D197</f>
        <v>206.15100000000001</v>
      </c>
      <c r="E199" s="78"/>
      <c r="F199" s="79"/>
    </row>
    <row r="200" spans="1:6" ht="18.5" x14ac:dyDescent="0.35">
      <c r="A200" s="70" t="s">
        <v>175</v>
      </c>
      <c r="B200" s="75" t="s">
        <v>176</v>
      </c>
      <c r="C200" s="76" t="s">
        <v>109</v>
      </c>
      <c r="D200" s="77">
        <f>+D188</f>
        <v>0</v>
      </c>
      <c r="E200" s="78"/>
      <c r="F200" s="79"/>
    </row>
    <row r="201" spans="1:6" ht="18.5" x14ac:dyDescent="0.35">
      <c r="A201" s="70" t="s">
        <v>177</v>
      </c>
      <c r="B201" s="75" t="s">
        <v>212</v>
      </c>
      <c r="C201" s="76" t="s">
        <v>109</v>
      </c>
      <c r="D201" s="77">
        <v>0</v>
      </c>
      <c r="E201" s="78"/>
      <c r="F201" s="79"/>
    </row>
    <row r="202" spans="1:6" ht="15" x14ac:dyDescent="0.35">
      <c r="A202" s="70" t="s">
        <v>70</v>
      </c>
      <c r="B202" s="71" t="s">
        <v>133</v>
      </c>
      <c r="C202" s="72" t="s">
        <v>70</v>
      </c>
      <c r="D202" s="73" t="s">
        <v>70</v>
      </c>
      <c r="E202" s="72"/>
      <c r="F202" s="87"/>
    </row>
    <row r="203" spans="1:6" ht="15.5" x14ac:dyDescent="0.35">
      <c r="A203" s="70" t="s">
        <v>179</v>
      </c>
      <c r="B203" s="71" t="s">
        <v>180</v>
      </c>
      <c r="C203" s="76" t="s">
        <v>84</v>
      </c>
      <c r="D203" s="86" t="s">
        <v>84</v>
      </c>
      <c r="E203" s="76"/>
      <c r="F203" s="89"/>
    </row>
    <row r="204" spans="1:6" ht="31" x14ac:dyDescent="0.35">
      <c r="A204" s="70" t="s">
        <v>181</v>
      </c>
      <c r="B204" s="75" t="s">
        <v>204</v>
      </c>
      <c r="C204" s="76" t="s">
        <v>183</v>
      </c>
      <c r="D204" s="77">
        <v>1</v>
      </c>
      <c r="E204" s="78"/>
      <c r="F204" s="79"/>
    </row>
    <row r="205" spans="1:6" ht="15.5" x14ac:dyDescent="0.35">
      <c r="A205" s="70" t="s">
        <v>184</v>
      </c>
      <c r="B205" s="75" t="s">
        <v>185</v>
      </c>
      <c r="C205" s="76" t="s">
        <v>2</v>
      </c>
      <c r="D205" s="77">
        <v>6</v>
      </c>
      <c r="E205" s="78"/>
      <c r="F205" s="79"/>
    </row>
    <row r="206" spans="1:6" ht="15.5" x14ac:dyDescent="0.35">
      <c r="A206" s="70" t="s">
        <v>186</v>
      </c>
      <c r="B206" s="75" t="s">
        <v>187</v>
      </c>
      <c r="C206" s="76" t="s">
        <v>2</v>
      </c>
      <c r="D206" s="77">
        <v>6</v>
      </c>
      <c r="E206" s="78"/>
      <c r="F206" s="79"/>
    </row>
    <row r="207" spans="1:6" ht="15.5" x14ac:dyDescent="0.35">
      <c r="A207" s="70" t="s">
        <v>188</v>
      </c>
      <c r="B207" s="75" t="s">
        <v>189</v>
      </c>
      <c r="C207" s="76" t="s">
        <v>2</v>
      </c>
      <c r="D207" s="77">
        <v>10</v>
      </c>
      <c r="E207" s="78"/>
      <c r="F207" s="79"/>
    </row>
    <row r="208" spans="1:6" ht="15.5" x14ac:dyDescent="0.35">
      <c r="A208" s="70" t="s">
        <v>190</v>
      </c>
      <c r="B208" s="75" t="s">
        <v>191</v>
      </c>
      <c r="C208" s="76" t="s">
        <v>2</v>
      </c>
      <c r="D208" s="77">
        <v>0</v>
      </c>
      <c r="E208" s="78"/>
      <c r="F208" s="79"/>
    </row>
    <row r="209" spans="1:6" ht="15.5" x14ac:dyDescent="0.35">
      <c r="A209" s="70" t="s">
        <v>70</v>
      </c>
      <c r="B209" s="71" t="s">
        <v>192</v>
      </c>
      <c r="C209" s="72" t="s">
        <v>70</v>
      </c>
      <c r="D209" s="73" t="s">
        <v>70</v>
      </c>
      <c r="E209" s="78"/>
      <c r="F209" s="87"/>
    </row>
    <row r="210" spans="1:6" ht="15.5" x14ac:dyDescent="0.35">
      <c r="A210" s="80" t="s">
        <v>70</v>
      </c>
      <c r="B210" s="81" t="s">
        <v>213</v>
      </c>
      <c r="C210" s="82" t="s">
        <v>84</v>
      </c>
      <c r="D210" s="83" t="s">
        <v>84</v>
      </c>
      <c r="E210" s="82"/>
      <c r="F210" s="84"/>
    </row>
    <row r="211" spans="1:6" ht="15" x14ac:dyDescent="0.35">
      <c r="A211" s="105"/>
      <c r="B211" s="106"/>
      <c r="C211" s="107"/>
      <c r="D211" s="107"/>
      <c r="E211" s="107"/>
      <c r="F211" s="108"/>
    </row>
    <row r="212" spans="1:6" ht="15" x14ac:dyDescent="0.35">
      <c r="A212" s="65" t="s">
        <v>214</v>
      </c>
      <c r="B212" s="177" t="s">
        <v>215</v>
      </c>
      <c r="C212" s="177"/>
      <c r="D212" s="177"/>
      <c r="E212" s="177"/>
      <c r="F212" s="178"/>
    </row>
    <row r="213" spans="1:6" ht="30" x14ac:dyDescent="0.35">
      <c r="A213" s="70" t="s">
        <v>71</v>
      </c>
      <c r="B213" s="71" t="s">
        <v>72</v>
      </c>
      <c r="C213" s="72" t="s">
        <v>73</v>
      </c>
      <c r="D213" s="73" t="s">
        <v>74</v>
      </c>
      <c r="E213" s="72" t="s">
        <v>75</v>
      </c>
      <c r="F213" s="74" t="s">
        <v>76</v>
      </c>
    </row>
    <row r="214" spans="1:6" ht="15" x14ac:dyDescent="0.35">
      <c r="A214" s="70" t="s">
        <v>77</v>
      </c>
      <c r="B214" s="71" t="s">
        <v>216</v>
      </c>
      <c r="C214" s="72" t="s">
        <v>70</v>
      </c>
      <c r="D214" s="73" t="s">
        <v>70</v>
      </c>
      <c r="E214" s="72" t="s">
        <v>84</v>
      </c>
      <c r="F214" s="74" t="s">
        <v>84</v>
      </c>
    </row>
    <row r="215" spans="1:6" ht="18.5" x14ac:dyDescent="0.35">
      <c r="A215" s="70" t="s">
        <v>88</v>
      </c>
      <c r="B215" s="75" t="s">
        <v>217</v>
      </c>
      <c r="C215" s="76" t="s">
        <v>109</v>
      </c>
      <c r="D215" s="77">
        <f>(4.2+2)*(2.85+2)</f>
        <v>30.07</v>
      </c>
      <c r="E215" s="78"/>
      <c r="F215" s="79"/>
    </row>
    <row r="216" spans="1:6" ht="18.5" x14ac:dyDescent="0.35">
      <c r="A216" s="70" t="s">
        <v>91</v>
      </c>
      <c r="B216" s="75" t="s">
        <v>218</v>
      </c>
      <c r="C216" s="76" t="s">
        <v>93</v>
      </c>
      <c r="D216" s="77">
        <f>(0.4*0.6*8.55)*1.2</f>
        <v>2.4624000000000001</v>
      </c>
      <c r="E216" s="78"/>
      <c r="F216" s="79"/>
    </row>
    <row r="217" spans="1:6" ht="18.5" x14ac:dyDescent="0.35">
      <c r="A217" s="70" t="s">
        <v>94</v>
      </c>
      <c r="B217" s="75" t="s">
        <v>219</v>
      </c>
      <c r="C217" s="76" t="s">
        <v>93</v>
      </c>
      <c r="D217" s="77">
        <f>(6.568*2.2)*1.2</f>
        <v>17.33952</v>
      </c>
      <c r="E217" s="78"/>
      <c r="F217" s="79"/>
    </row>
    <row r="218" spans="1:6" ht="18.5" x14ac:dyDescent="0.35">
      <c r="A218" s="70" t="s">
        <v>96</v>
      </c>
      <c r="B218" s="75" t="s">
        <v>97</v>
      </c>
      <c r="C218" s="76" t="s">
        <v>93</v>
      </c>
      <c r="D218" s="77">
        <f>+D217+D216</f>
        <v>19.801919999999999</v>
      </c>
      <c r="E218" s="78"/>
      <c r="F218" s="79"/>
    </row>
    <row r="219" spans="1:6" ht="15" x14ac:dyDescent="0.35">
      <c r="A219" s="70" t="s">
        <v>70</v>
      </c>
      <c r="B219" s="71" t="s">
        <v>98</v>
      </c>
      <c r="C219" s="72" t="s">
        <v>70</v>
      </c>
      <c r="D219" s="73" t="s">
        <v>70</v>
      </c>
      <c r="E219" s="72"/>
      <c r="F219" s="87"/>
    </row>
    <row r="220" spans="1:6" ht="15.5" x14ac:dyDescent="0.35">
      <c r="A220" s="70" t="s">
        <v>99</v>
      </c>
      <c r="B220" s="71" t="s">
        <v>220</v>
      </c>
      <c r="C220" s="72" t="s">
        <v>70</v>
      </c>
      <c r="D220" s="73" t="s">
        <v>70</v>
      </c>
      <c r="E220" s="72"/>
      <c r="F220" s="89"/>
    </row>
    <row r="221" spans="1:6" ht="31" x14ac:dyDescent="0.35">
      <c r="A221" s="70" t="s">
        <v>101</v>
      </c>
      <c r="B221" s="75" t="s">
        <v>221</v>
      </c>
      <c r="C221" s="76" t="s">
        <v>93</v>
      </c>
      <c r="D221" s="86">
        <f>(8.55*0.4*0.05)*1.2</f>
        <v>0.20520000000000005</v>
      </c>
      <c r="E221" s="78"/>
      <c r="F221" s="79"/>
    </row>
    <row r="222" spans="1:6" ht="18.5" x14ac:dyDescent="0.35">
      <c r="A222" s="70" t="s">
        <v>143</v>
      </c>
      <c r="B222" s="75" t="s">
        <v>222</v>
      </c>
      <c r="C222" s="76" t="s">
        <v>109</v>
      </c>
      <c r="D222" s="86">
        <f>(8.55*0.85)*1.2</f>
        <v>8.7210000000000001</v>
      </c>
      <c r="E222" s="78"/>
      <c r="F222" s="79"/>
    </row>
    <row r="223" spans="1:6" ht="31" x14ac:dyDescent="0.35">
      <c r="A223" s="70" t="s">
        <v>144</v>
      </c>
      <c r="B223" s="75" t="s">
        <v>223</v>
      </c>
      <c r="C223" s="76" t="s">
        <v>93</v>
      </c>
      <c r="D223" s="86">
        <f>(4.75*2*0.1)*1.2</f>
        <v>1.1400000000000001</v>
      </c>
      <c r="E223" s="78"/>
      <c r="F223" s="79"/>
    </row>
    <row r="224" spans="1:6" ht="31" x14ac:dyDescent="0.35">
      <c r="A224" s="70" t="s">
        <v>145</v>
      </c>
      <c r="B224" s="75" t="s">
        <v>224</v>
      </c>
      <c r="C224" s="76" t="s">
        <v>93</v>
      </c>
      <c r="D224" s="86">
        <f>(6.568*0.1)*1.2</f>
        <v>0.78816000000000008</v>
      </c>
      <c r="E224" s="78"/>
      <c r="F224" s="79"/>
    </row>
    <row r="225" spans="1:6" ht="18.5" x14ac:dyDescent="0.35">
      <c r="A225" s="70" t="s">
        <v>146</v>
      </c>
      <c r="B225" s="75" t="s">
        <v>225</v>
      </c>
      <c r="C225" s="76" t="s">
        <v>109</v>
      </c>
      <c r="D225" s="77">
        <f>(12.6*2.45)*1.2</f>
        <v>37.043999999999997</v>
      </c>
      <c r="E225" s="78"/>
      <c r="F225" s="79"/>
    </row>
    <row r="226" spans="1:6" ht="31" x14ac:dyDescent="0.35">
      <c r="A226" s="70" t="s">
        <v>147</v>
      </c>
      <c r="B226" s="75" t="s">
        <v>226</v>
      </c>
      <c r="C226" s="76" t="s">
        <v>93</v>
      </c>
      <c r="D226" s="86">
        <f>((0.15*0.15*2.2)*8+(0.15*0.2*21.15))*1.2</f>
        <v>1.2365999999999999</v>
      </c>
      <c r="E226" s="78"/>
      <c r="F226" s="79"/>
    </row>
    <row r="227" spans="1:6" ht="18.5" x14ac:dyDescent="0.35">
      <c r="A227" s="70" t="s">
        <v>149</v>
      </c>
      <c r="B227" s="75" t="s">
        <v>148</v>
      </c>
      <c r="C227" s="76" t="s">
        <v>93</v>
      </c>
      <c r="D227" s="86">
        <f>(0.53*0.15*4)*1.2</f>
        <v>0.38159999999999999</v>
      </c>
      <c r="E227" s="78"/>
      <c r="F227" s="79"/>
    </row>
    <row r="228" spans="1:6" ht="18.5" x14ac:dyDescent="0.35">
      <c r="A228" s="70" t="s">
        <v>227</v>
      </c>
      <c r="B228" s="75" t="s">
        <v>228</v>
      </c>
      <c r="C228" s="76" t="s">
        <v>93</v>
      </c>
      <c r="D228" s="86">
        <f>(2.85*2.3*0.15)*1.2</f>
        <v>1.1798999999999999</v>
      </c>
      <c r="E228" s="78"/>
      <c r="F228" s="79"/>
    </row>
    <row r="229" spans="1:6" ht="15" x14ac:dyDescent="0.35">
      <c r="A229" s="70" t="s">
        <v>70</v>
      </c>
      <c r="B229" s="71" t="s">
        <v>112</v>
      </c>
      <c r="C229" s="72" t="s">
        <v>70</v>
      </c>
      <c r="D229" s="73" t="s">
        <v>70</v>
      </c>
      <c r="E229" s="72"/>
      <c r="F229" s="87"/>
    </row>
    <row r="230" spans="1:6" ht="15.5" x14ac:dyDescent="0.35">
      <c r="A230" s="70" t="s">
        <v>79</v>
      </c>
      <c r="B230" s="71" t="s">
        <v>229</v>
      </c>
      <c r="C230" s="72" t="s">
        <v>70</v>
      </c>
      <c r="D230" s="73" t="s">
        <v>70</v>
      </c>
      <c r="E230" s="72"/>
      <c r="F230" s="89"/>
    </row>
    <row r="231" spans="1:6" ht="31" x14ac:dyDescent="0.35">
      <c r="A231" s="70" t="s">
        <v>114</v>
      </c>
      <c r="B231" s="75" t="s">
        <v>230</v>
      </c>
      <c r="C231" s="76" t="s">
        <v>93</v>
      </c>
      <c r="D231" s="86">
        <f>((0.15*0.15*2.2)*8+(21.15*0.15*0.2))*1.2</f>
        <v>1.2365999999999999</v>
      </c>
      <c r="E231" s="78"/>
      <c r="F231" s="79"/>
    </row>
    <row r="232" spans="1:6" ht="18.5" x14ac:dyDescent="0.35">
      <c r="A232" s="70" t="s">
        <v>231</v>
      </c>
      <c r="B232" s="75" t="s">
        <v>232</v>
      </c>
      <c r="C232" s="76" t="s">
        <v>109</v>
      </c>
      <c r="D232" s="86">
        <f>(21.15*2.2)*1.2</f>
        <v>55.835999999999999</v>
      </c>
      <c r="E232" s="78"/>
      <c r="F232" s="79"/>
    </row>
    <row r="233" spans="1:6" ht="18.5" x14ac:dyDescent="0.35">
      <c r="A233" s="70" t="s">
        <v>233</v>
      </c>
      <c r="B233" s="75" t="s">
        <v>234</v>
      </c>
      <c r="C233" s="76" t="s">
        <v>109</v>
      </c>
      <c r="D233" s="86">
        <f>(0.3*0.3)*2</f>
        <v>0.18</v>
      </c>
      <c r="E233" s="78"/>
      <c r="F233" s="79"/>
    </row>
    <row r="234" spans="1:6" ht="31" x14ac:dyDescent="0.35">
      <c r="A234" s="70" t="s">
        <v>235</v>
      </c>
      <c r="B234" s="75" t="s">
        <v>236</v>
      </c>
      <c r="C234" s="76" t="s">
        <v>90</v>
      </c>
      <c r="D234" s="86">
        <f>(1.6*2)</f>
        <v>3.2</v>
      </c>
      <c r="E234" s="78"/>
      <c r="F234" s="79"/>
    </row>
    <row r="235" spans="1:6" ht="15" x14ac:dyDescent="0.35">
      <c r="A235" s="70" t="s">
        <v>70</v>
      </c>
      <c r="B235" s="71" t="s">
        <v>237</v>
      </c>
      <c r="C235" s="72" t="s">
        <v>70</v>
      </c>
      <c r="D235" s="73" t="s">
        <v>70</v>
      </c>
      <c r="E235" s="72"/>
      <c r="F235" s="87"/>
    </row>
    <row r="236" spans="1:6" ht="15.5" x14ac:dyDescent="0.35">
      <c r="A236" s="70" t="s">
        <v>81</v>
      </c>
      <c r="B236" s="71" t="s">
        <v>156</v>
      </c>
      <c r="C236" s="72" t="s">
        <v>70</v>
      </c>
      <c r="D236" s="73" t="s">
        <v>70</v>
      </c>
      <c r="E236" s="72"/>
      <c r="F236" s="89"/>
    </row>
    <row r="237" spans="1:6" ht="31" x14ac:dyDescent="0.35">
      <c r="A237" s="70" t="s">
        <v>238</v>
      </c>
      <c r="B237" s="75" t="s">
        <v>239</v>
      </c>
      <c r="C237" s="76" t="s">
        <v>90</v>
      </c>
      <c r="D237" s="77">
        <f>(2.3*3+0.4*6)*1.2</f>
        <v>11.16</v>
      </c>
      <c r="E237" s="78"/>
      <c r="F237" s="79"/>
    </row>
    <row r="238" spans="1:6" ht="31" x14ac:dyDescent="0.35">
      <c r="A238" s="70" t="s">
        <v>240</v>
      </c>
      <c r="B238" s="75" t="s">
        <v>241</v>
      </c>
      <c r="C238" s="76" t="s">
        <v>90</v>
      </c>
      <c r="D238" s="77">
        <f>2.85*2*1.2</f>
        <v>6.84</v>
      </c>
      <c r="E238" s="78"/>
      <c r="F238" s="79"/>
    </row>
    <row r="239" spans="1:6" ht="18.5" x14ac:dyDescent="0.35">
      <c r="A239" s="70" t="s">
        <v>242</v>
      </c>
      <c r="B239" s="75" t="s">
        <v>243</v>
      </c>
      <c r="C239" s="76" t="s">
        <v>109</v>
      </c>
      <c r="D239" s="77">
        <f>(2.5*2.85)*1.2</f>
        <v>8.5499999999999989</v>
      </c>
      <c r="E239" s="78"/>
      <c r="F239" s="79"/>
    </row>
    <row r="240" spans="1:6" ht="15" x14ac:dyDescent="0.35">
      <c r="A240" s="70" t="s">
        <v>70</v>
      </c>
      <c r="B240" s="71" t="s">
        <v>137</v>
      </c>
      <c r="C240" s="72" t="s">
        <v>70</v>
      </c>
      <c r="D240" s="109" t="s">
        <v>70</v>
      </c>
      <c r="E240" s="72"/>
      <c r="F240" s="87"/>
    </row>
    <row r="241" spans="1:6" ht="15.5" x14ac:dyDescent="0.35">
      <c r="A241" s="70" t="s">
        <v>164</v>
      </c>
      <c r="B241" s="71" t="s">
        <v>244</v>
      </c>
      <c r="C241" s="72" t="s">
        <v>70</v>
      </c>
      <c r="D241" s="109" t="s">
        <v>70</v>
      </c>
      <c r="E241" s="72"/>
      <c r="F241" s="89"/>
    </row>
    <row r="242" spans="1:6" ht="31" x14ac:dyDescent="0.35">
      <c r="A242" s="70" t="s">
        <v>165</v>
      </c>
      <c r="B242" s="75" t="s">
        <v>245</v>
      </c>
      <c r="C242" s="76" t="s">
        <v>2</v>
      </c>
      <c r="D242" s="77">
        <v>2</v>
      </c>
      <c r="E242" s="78"/>
      <c r="F242" s="79"/>
    </row>
    <row r="243" spans="1:6" ht="15" x14ac:dyDescent="0.35">
      <c r="A243" s="70" t="s">
        <v>70</v>
      </c>
      <c r="B243" s="71" t="s">
        <v>172</v>
      </c>
      <c r="C243" s="72" t="s">
        <v>70</v>
      </c>
      <c r="D243" s="109" t="s">
        <v>70</v>
      </c>
      <c r="E243" s="72"/>
      <c r="F243" s="87"/>
    </row>
    <row r="244" spans="1:6" ht="15.5" x14ac:dyDescent="0.35">
      <c r="A244" s="70" t="s">
        <v>123</v>
      </c>
      <c r="B244" s="71" t="s">
        <v>246</v>
      </c>
      <c r="C244" s="72" t="s">
        <v>70</v>
      </c>
      <c r="D244" s="73" t="s">
        <v>70</v>
      </c>
      <c r="E244" s="72"/>
      <c r="F244" s="89"/>
    </row>
    <row r="245" spans="1:6" ht="18.5" x14ac:dyDescent="0.35">
      <c r="A245" s="70" t="s">
        <v>125</v>
      </c>
      <c r="B245" s="75" t="s">
        <v>247</v>
      </c>
      <c r="C245" s="76" t="s">
        <v>109</v>
      </c>
      <c r="D245" s="86">
        <f>((25.2*2.2)+(14*2.65))*1.2</f>
        <v>111.048</v>
      </c>
      <c r="E245" s="78"/>
      <c r="F245" s="79"/>
    </row>
    <row r="246" spans="1:6" ht="18.5" x14ac:dyDescent="0.35">
      <c r="A246" s="70" t="s">
        <v>173</v>
      </c>
      <c r="B246" s="75" t="s">
        <v>178</v>
      </c>
      <c r="C246" s="76" t="s">
        <v>109</v>
      </c>
      <c r="D246" s="86">
        <f>(4.05*2.85)*1.2</f>
        <v>13.851000000000001</v>
      </c>
      <c r="E246" s="78"/>
      <c r="F246" s="79"/>
    </row>
    <row r="247" spans="1:6" ht="18.5" x14ac:dyDescent="0.35">
      <c r="A247" s="70" t="s">
        <v>174</v>
      </c>
      <c r="B247" s="75" t="s">
        <v>248</v>
      </c>
      <c r="C247" s="76" t="s">
        <v>109</v>
      </c>
      <c r="D247" s="86">
        <f>+D245</f>
        <v>111.048</v>
      </c>
      <c r="E247" s="78"/>
      <c r="F247" s="79"/>
    </row>
    <row r="248" spans="1:6" ht="15" x14ac:dyDescent="0.35">
      <c r="A248" s="70" t="s">
        <v>70</v>
      </c>
      <c r="B248" s="71" t="s">
        <v>133</v>
      </c>
      <c r="C248" s="72" t="s">
        <v>70</v>
      </c>
      <c r="D248" s="73" t="s">
        <v>70</v>
      </c>
      <c r="E248" s="72"/>
      <c r="F248" s="87"/>
    </row>
    <row r="249" spans="1:6" ht="15.5" x14ac:dyDescent="0.35">
      <c r="A249" s="80" t="s">
        <v>70</v>
      </c>
      <c r="B249" s="81" t="s">
        <v>249</v>
      </c>
      <c r="C249" s="82" t="s">
        <v>84</v>
      </c>
      <c r="D249" s="83" t="s">
        <v>84</v>
      </c>
      <c r="E249" s="82"/>
      <c r="F249" s="84"/>
    </row>
    <row r="250" spans="1:6" ht="15.5" x14ac:dyDescent="0.35">
      <c r="A250" s="90"/>
      <c r="B250" s="91"/>
      <c r="C250" s="92"/>
      <c r="D250" s="93"/>
      <c r="E250" s="92"/>
      <c r="F250" s="94"/>
    </row>
    <row r="251" spans="1:6" ht="15" x14ac:dyDescent="0.35">
      <c r="A251" s="65" t="s">
        <v>250</v>
      </c>
      <c r="B251" s="177" t="s">
        <v>251</v>
      </c>
      <c r="C251" s="177"/>
      <c r="D251" s="177"/>
      <c r="E251" s="177"/>
      <c r="F251" s="178"/>
    </row>
    <row r="252" spans="1:6" ht="30" x14ac:dyDescent="0.35">
      <c r="A252" s="70" t="s">
        <v>71</v>
      </c>
      <c r="B252" s="71" t="s">
        <v>72</v>
      </c>
      <c r="C252" s="72" t="s">
        <v>73</v>
      </c>
      <c r="D252" s="73" t="s">
        <v>74</v>
      </c>
      <c r="E252" s="72" t="s">
        <v>75</v>
      </c>
      <c r="F252" s="74" t="s">
        <v>76</v>
      </c>
    </row>
    <row r="253" spans="1:6" ht="15.5" x14ac:dyDescent="0.35">
      <c r="A253" s="110">
        <v>1</v>
      </c>
      <c r="B253" s="96" t="s">
        <v>252</v>
      </c>
      <c r="C253" s="97" t="s">
        <v>253</v>
      </c>
      <c r="D253" s="97">
        <v>1</v>
      </c>
      <c r="E253" s="111"/>
      <c r="F253" s="79"/>
    </row>
    <row r="254" spans="1:6" ht="15.5" x14ac:dyDescent="0.35">
      <c r="A254" s="110">
        <v>2</v>
      </c>
      <c r="B254" s="112" t="s">
        <v>254</v>
      </c>
      <c r="C254" s="97" t="s">
        <v>253</v>
      </c>
      <c r="D254" s="188">
        <v>1</v>
      </c>
      <c r="E254" s="111"/>
      <c r="F254" s="79"/>
    </row>
    <row r="255" spans="1:6" ht="15.5" x14ac:dyDescent="0.35">
      <c r="A255" s="110">
        <v>3</v>
      </c>
      <c r="B255" s="112" t="s">
        <v>255</v>
      </c>
      <c r="C255" s="97" t="s">
        <v>253</v>
      </c>
      <c r="D255" s="188">
        <v>1</v>
      </c>
      <c r="E255" s="111"/>
      <c r="F255" s="79"/>
    </row>
    <row r="256" spans="1:6" ht="15.5" x14ac:dyDescent="0.35">
      <c r="A256" s="110">
        <v>4</v>
      </c>
      <c r="B256" s="112" t="s">
        <v>256</v>
      </c>
      <c r="C256" s="97" t="s">
        <v>253</v>
      </c>
      <c r="D256" s="188">
        <v>1</v>
      </c>
      <c r="E256" s="111"/>
      <c r="F256" s="87"/>
    </row>
    <row r="257" spans="1:6" ht="15" x14ac:dyDescent="0.35">
      <c r="A257" s="113"/>
      <c r="B257" s="81" t="s">
        <v>257</v>
      </c>
      <c r="F257" s="114"/>
    </row>
    <row r="258" spans="1:6" ht="15.5" x14ac:dyDescent="0.35">
      <c r="A258" s="115" t="s">
        <v>70</v>
      </c>
      <c r="B258" s="116" t="s">
        <v>258</v>
      </c>
      <c r="C258" s="117" t="s">
        <v>70</v>
      </c>
      <c r="D258" s="118" t="s">
        <v>70</v>
      </c>
      <c r="E258" s="119"/>
      <c r="F258" s="120"/>
    </row>
    <row r="259" spans="1:6" x14ac:dyDescent="0.35">
      <c r="A259" s="121"/>
      <c r="B259" s="122"/>
      <c r="C259" s="123"/>
      <c r="D259" s="124"/>
      <c r="E259" s="123"/>
      <c r="F259" s="125"/>
    </row>
    <row r="260" spans="1:6" ht="15" x14ac:dyDescent="0.35">
      <c r="A260" s="179" t="s">
        <v>259</v>
      </c>
      <c r="B260" s="180"/>
      <c r="C260" s="180"/>
      <c r="D260" s="180"/>
      <c r="E260" s="180"/>
      <c r="F260" s="181"/>
    </row>
    <row r="261" spans="1:6" ht="15" x14ac:dyDescent="0.35">
      <c r="A261" s="65" t="s">
        <v>71</v>
      </c>
      <c r="B261" s="66" t="s">
        <v>260</v>
      </c>
      <c r="C261" s="67" t="s">
        <v>70</v>
      </c>
      <c r="D261" s="68" t="s">
        <v>70</v>
      </c>
      <c r="E261" s="67" t="s">
        <v>84</v>
      </c>
      <c r="F261" s="69" t="s">
        <v>261</v>
      </c>
    </row>
    <row r="262" spans="1:6" ht="31" x14ac:dyDescent="0.35">
      <c r="A262" s="126" t="s">
        <v>262</v>
      </c>
      <c r="B262" s="75" t="s">
        <v>263</v>
      </c>
      <c r="C262" s="76" t="s">
        <v>84</v>
      </c>
      <c r="D262" s="86" t="s">
        <v>84</v>
      </c>
      <c r="E262" s="76"/>
      <c r="F262" s="79"/>
    </row>
    <row r="263" spans="1:6" ht="15.5" x14ac:dyDescent="0.35">
      <c r="A263" s="126" t="s">
        <v>85</v>
      </c>
      <c r="B263" s="75" t="s">
        <v>86</v>
      </c>
      <c r="C263" s="76" t="s">
        <v>84</v>
      </c>
      <c r="D263" s="86" t="s">
        <v>84</v>
      </c>
      <c r="E263" s="76"/>
      <c r="F263" s="79"/>
    </row>
    <row r="264" spans="1:6" ht="15.5" x14ac:dyDescent="0.35">
      <c r="A264" s="126" t="s">
        <v>139</v>
      </c>
      <c r="B264" s="75" t="s">
        <v>140</v>
      </c>
      <c r="C264" s="76" t="s">
        <v>84</v>
      </c>
      <c r="D264" s="86" t="s">
        <v>84</v>
      </c>
      <c r="E264" s="76"/>
      <c r="F264" s="79"/>
    </row>
    <row r="265" spans="1:6" ht="15.5" x14ac:dyDescent="0.35">
      <c r="A265" s="126" t="s">
        <v>194</v>
      </c>
      <c r="B265" s="75" t="s">
        <v>195</v>
      </c>
      <c r="C265" s="76" t="s">
        <v>84</v>
      </c>
      <c r="D265" s="86" t="s">
        <v>84</v>
      </c>
      <c r="E265" s="76"/>
      <c r="F265" s="79"/>
    </row>
    <row r="266" spans="1:6" ht="15.5" x14ac:dyDescent="0.35">
      <c r="A266" s="126" t="s">
        <v>206</v>
      </c>
      <c r="B266" s="75" t="s">
        <v>207</v>
      </c>
      <c r="C266" s="76" t="s">
        <v>84</v>
      </c>
      <c r="D266" s="86" t="s">
        <v>84</v>
      </c>
      <c r="E266" s="76"/>
      <c r="F266" s="79"/>
    </row>
    <row r="267" spans="1:6" ht="15.5" x14ac:dyDescent="0.35">
      <c r="A267" s="126" t="s">
        <v>214</v>
      </c>
      <c r="B267" s="75" t="s">
        <v>264</v>
      </c>
      <c r="C267" s="76" t="s">
        <v>84</v>
      </c>
      <c r="D267" s="86" t="s">
        <v>84</v>
      </c>
      <c r="E267" s="76"/>
      <c r="F267" s="79"/>
    </row>
    <row r="268" spans="1:6" ht="31.5" thickBot="1" x14ac:dyDescent="0.4">
      <c r="A268" s="127" t="s">
        <v>250</v>
      </c>
      <c r="B268" s="128" t="s">
        <v>251</v>
      </c>
      <c r="C268" s="128"/>
      <c r="D268" s="128"/>
      <c r="E268" s="128"/>
      <c r="F268" s="129"/>
    </row>
    <row r="269" spans="1:6" ht="15" thickBot="1" x14ac:dyDescent="0.4">
      <c r="A269" s="130"/>
      <c r="B269" s="131" t="s">
        <v>5</v>
      </c>
      <c r="C269" s="132"/>
      <c r="D269" s="133"/>
      <c r="E269" s="132"/>
      <c r="F269" s="134">
        <f>SUM(F262:F268)</f>
        <v>0</v>
      </c>
    </row>
    <row r="270" spans="1:6" ht="15" thickBot="1" x14ac:dyDescent="0.4"/>
    <row r="271" spans="1:6" ht="16" thickBot="1" x14ac:dyDescent="0.4">
      <c r="A271" s="156" t="s">
        <v>280</v>
      </c>
      <c r="B271" s="157"/>
      <c r="C271" s="157"/>
      <c r="D271" s="157"/>
      <c r="E271" s="157"/>
      <c r="F271" s="158"/>
    </row>
    <row r="272" spans="1:6" ht="15" thickBot="1" x14ac:dyDescent="0.4">
      <c r="A272" s="174" t="s">
        <v>273</v>
      </c>
      <c r="B272" s="175"/>
      <c r="C272" s="175"/>
      <c r="D272" s="175"/>
      <c r="E272" s="175"/>
      <c r="F272" s="176"/>
    </row>
    <row r="273" spans="1:6" x14ac:dyDescent="0.35">
      <c r="A273" s="61"/>
      <c r="D273" s="63"/>
      <c r="F273" s="64"/>
    </row>
    <row r="274" spans="1:6" ht="30" x14ac:dyDescent="0.35">
      <c r="A274" s="65" t="s">
        <v>68</v>
      </c>
      <c r="B274" s="66" t="s">
        <v>69</v>
      </c>
      <c r="C274" s="67" t="s">
        <v>70</v>
      </c>
      <c r="D274" s="68" t="s">
        <v>70</v>
      </c>
      <c r="E274" s="67" t="s">
        <v>70</v>
      </c>
      <c r="F274" s="69" t="s">
        <v>70</v>
      </c>
    </row>
    <row r="275" spans="1:6" ht="30" x14ac:dyDescent="0.35">
      <c r="A275" s="70" t="s">
        <v>71</v>
      </c>
      <c r="B275" s="71" t="s">
        <v>72</v>
      </c>
      <c r="C275" s="72" t="s">
        <v>73</v>
      </c>
      <c r="D275" s="73" t="s">
        <v>74</v>
      </c>
      <c r="E275" s="72" t="s">
        <v>75</v>
      </c>
      <c r="F275" s="74" t="s">
        <v>76</v>
      </c>
    </row>
    <row r="276" spans="1:6" ht="15.5" x14ac:dyDescent="0.35">
      <c r="A276" s="70" t="s">
        <v>77</v>
      </c>
      <c r="B276" s="75" t="s">
        <v>78</v>
      </c>
      <c r="C276" s="76" t="s">
        <v>10</v>
      </c>
      <c r="D276" s="77">
        <v>1</v>
      </c>
      <c r="E276" s="78"/>
      <c r="F276" s="79"/>
    </row>
    <row r="277" spans="1:6" ht="31" x14ac:dyDescent="0.35">
      <c r="A277" s="70" t="s">
        <v>14</v>
      </c>
      <c r="B277" s="75" t="s">
        <v>80</v>
      </c>
      <c r="C277" s="76" t="s">
        <v>10</v>
      </c>
      <c r="D277" s="77">
        <v>1</v>
      </c>
      <c r="E277" s="78"/>
      <c r="F277" s="79"/>
    </row>
    <row r="278" spans="1:6" ht="15.5" x14ac:dyDescent="0.35">
      <c r="A278" s="70" t="s">
        <v>79</v>
      </c>
      <c r="B278" s="75" t="s">
        <v>82</v>
      </c>
      <c r="C278" s="76" t="s">
        <v>10</v>
      </c>
      <c r="D278" s="77">
        <v>1</v>
      </c>
      <c r="E278" s="78"/>
      <c r="F278" s="79"/>
    </row>
    <row r="279" spans="1:6" ht="30" x14ac:dyDescent="0.35">
      <c r="A279" s="80" t="s">
        <v>70</v>
      </c>
      <c r="B279" s="136" t="s">
        <v>83</v>
      </c>
      <c r="C279" s="82" t="s">
        <v>84</v>
      </c>
      <c r="D279" s="83" t="s">
        <v>84</v>
      </c>
      <c r="E279" s="82"/>
      <c r="F279" s="84"/>
    </row>
    <row r="280" spans="1:6" x14ac:dyDescent="0.35">
      <c r="A280" s="61"/>
      <c r="F280" s="64"/>
    </row>
    <row r="281" spans="1:6" ht="15" x14ac:dyDescent="0.35">
      <c r="A281" s="65" t="s">
        <v>85</v>
      </c>
      <c r="B281" s="177" t="s">
        <v>274</v>
      </c>
      <c r="C281" s="177"/>
      <c r="D281" s="177"/>
      <c r="E281" s="177"/>
      <c r="F281" s="178"/>
    </row>
    <row r="282" spans="1:6" ht="30" x14ac:dyDescent="0.35">
      <c r="A282" s="70" t="s">
        <v>71</v>
      </c>
      <c r="B282" s="71" t="s">
        <v>72</v>
      </c>
      <c r="C282" s="72" t="s">
        <v>73</v>
      </c>
      <c r="D282" s="73" t="s">
        <v>74</v>
      </c>
      <c r="E282" s="72" t="s">
        <v>75</v>
      </c>
      <c r="F282" s="74" t="s">
        <v>76</v>
      </c>
    </row>
    <row r="283" spans="1:6" ht="15.5" x14ac:dyDescent="0.35">
      <c r="A283" s="70" t="s">
        <v>77</v>
      </c>
      <c r="B283" s="71" t="s">
        <v>87</v>
      </c>
      <c r="C283" s="76" t="s">
        <v>84</v>
      </c>
      <c r="D283" s="85" t="s">
        <v>70</v>
      </c>
      <c r="E283" s="76" t="s">
        <v>84</v>
      </c>
      <c r="F283" s="74" t="s">
        <v>84</v>
      </c>
    </row>
    <row r="284" spans="1:6" ht="18.5" x14ac:dyDescent="0.35">
      <c r="A284" s="70" t="s">
        <v>88</v>
      </c>
      <c r="B284" s="75" t="s">
        <v>89</v>
      </c>
      <c r="C284" s="76" t="s">
        <v>109</v>
      </c>
      <c r="D284" s="86">
        <f>(7.8+2)*(6.3+2)</f>
        <v>81.340000000000018</v>
      </c>
      <c r="E284" s="78"/>
      <c r="F284" s="79"/>
    </row>
    <row r="285" spans="1:6" ht="18.5" x14ac:dyDescent="0.35">
      <c r="A285" s="70" t="s">
        <v>91</v>
      </c>
      <c r="B285" s="75" t="s">
        <v>92</v>
      </c>
      <c r="C285" s="76" t="s">
        <v>93</v>
      </c>
      <c r="D285" s="86">
        <f>(34.5*0.4*0.6)*1.2</f>
        <v>9.9359999999999982</v>
      </c>
      <c r="E285" s="78"/>
      <c r="F285" s="79"/>
    </row>
    <row r="286" spans="1:6" ht="18.5" x14ac:dyDescent="0.35">
      <c r="A286" s="70" t="s">
        <v>94</v>
      </c>
      <c r="B286" s="75" t="s">
        <v>95</v>
      </c>
      <c r="C286" s="76" t="s">
        <v>93</v>
      </c>
      <c r="D286" s="86">
        <f>(1.2*1.2*1.2)*9*1.2</f>
        <v>18.662399999999998</v>
      </c>
      <c r="E286" s="78"/>
      <c r="F286" s="79"/>
    </row>
    <row r="287" spans="1:6" ht="18.5" x14ac:dyDescent="0.35">
      <c r="A287" s="70" t="s">
        <v>96</v>
      </c>
      <c r="B287" s="75" t="s">
        <v>97</v>
      </c>
      <c r="C287" s="76" t="s">
        <v>93</v>
      </c>
      <c r="D287" s="86">
        <f>+D286+D285</f>
        <v>28.598399999999998</v>
      </c>
      <c r="E287" s="78"/>
      <c r="F287" s="79"/>
    </row>
    <row r="288" spans="1:6" ht="18.5" x14ac:dyDescent="0.35">
      <c r="A288" s="70" t="s">
        <v>141</v>
      </c>
      <c r="B288" s="75" t="s">
        <v>142</v>
      </c>
      <c r="C288" s="76" t="s">
        <v>93</v>
      </c>
      <c r="D288" s="86">
        <f>((49.15*0.45)-D287*0.15)*1.2</f>
        <v>21.393287999999998</v>
      </c>
      <c r="E288" s="78"/>
      <c r="F288" s="79"/>
    </row>
    <row r="289" spans="1:6" ht="15" x14ac:dyDescent="0.35">
      <c r="A289" s="70" t="s">
        <v>70</v>
      </c>
      <c r="B289" s="72" t="s">
        <v>98</v>
      </c>
      <c r="C289" s="72" t="s">
        <v>70</v>
      </c>
      <c r="D289" s="73" t="s">
        <v>70</v>
      </c>
      <c r="E289" s="72"/>
      <c r="F289" s="87"/>
    </row>
    <row r="290" spans="1:6" ht="15.5" x14ac:dyDescent="0.35">
      <c r="A290" s="70" t="s">
        <v>99</v>
      </c>
      <c r="B290" s="71" t="s">
        <v>100</v>
      </c>
      <c r="C290" s="72" t="s">
        <v>70</v>
      </c>
      <c r="D290" s="88" t="s">
        <v>70</v>
      </c>
      <c r="E290" s="72"/>
      <c r="F290" s="89"/>
    </row>
    <row r="291" spans="1:6" ht="18.5" x14ac:dyDescent="0.35">
      <c r="A291" s="70" t="s">
        <v>101</v>
      </c>
      <c r="B291" s="75" t="s">
        <v>102</v>
      </c>
      <c r="C291" s="76" t="s">
        <v>93</v>
      </c>
      <c r="D291" s="86">
        <f>((0.4*0.05*34.5)+(1.2*1.2*0.05)*9)*1.2</f>
        <v>1.6056000000000001</v>
      </c>
      <c r="E291" s="78"/>
      <c r="F291" s="79"/>
    </row>
    <row r="292" spans="1:6" ht="18.5" x14ac:dyDescent="0.35">
      <c r="A292" s="70" t="s">
        <v>143</v>
      </c>
      <c r="B292" s="137" t="s">
        <v>104</v>
      </c>
      <c r="C292" s="76" t="s">
        <v>93</v>
      </c>
      <c r="D292" s="86">
        <f>(1.2*1.2*0.25)*9*1.2</f>
        <v>3.8879999999999995</v>
      </c>
      <c r="E292" s="78"/>
      <c r="F292" s="79"/>
    </row>
    <row r="293" spans="1:6" ht="18.5" x14ac:dyDescent="0.35">
      <c r="A293" s="70" t="s">
        <v>144</v>
      </c>
      <c r="B293" s="75" t="s">
        <v>106</v>
      </c>
      <c r="C293" s="76" t="s">
        <v>93</v>
      </c>
      <c r="D293" s="86">
        <f>(0.2*0.2*1.5)*9*1.2</f>
        <v>0.64800000000000013</v>
      </c>
      <c r="E293" s="78"/>
      <c r="F293" s="79"/>
    </row>
    <row r="294" spans="1:6" ht="31" x14ac:dyDescent="0.35">
      <c r="A294" s="70" t="s">
        <v>145</v>
      </c>
      <c r="B294" s="75" t="s">
        <v>108</v>
      </c>
      <c r="C294" s="76" t="s">
        <v>109</v>
      </c>
      <c r="D294" s="86">
        <f>(34.5*1.05)*1.2</f>
        <v>43.47</v>
      </c>
      <c r="E294" s="78"/>
      <c r="F294" s="79"/>
    </row>
    <row r="295" spans="1:6" ht="18.5" x14ac:dyDescent="0.35">
      <c r="A295" s="70" t="s">
        <v>146</v>
      </c>
      <c r="B295" s="75" t="s">
        <v>111</v>
      </c>
      <c r="C295" s="76" t="s">
        <v>93</v>
      </c>
      <c r="D295" s="86">
        <f>(0.2*0.2*34.5)*1.2</f>
        <v>1.6560000000000004</v>
      </c>
      <c r="E295" s="78"/>
      <c r="F295" s="79"/>
    </row>
    <row r="296" spans="1:6" ht="18.5" x14ac:dyDescent="0.35">
      <c r="A296" s="70" t="s">
        <v>147</v>
      </c>
      <c r="B296" s="75" t="s">
        <v>148</v>
      </c>
      <c r="C296" s="76" t="s">
        <v>93</v>
      </c>
      <c r="D296" s="86">
        <f>(2.295*0.15)*1.2</f>
        <v>0.41309999999999997</v>
      </c>
      <c r="E296" s="78"/>
      <c r="F296" s="79"/>
    </row>
    <row r="297" spans="1:6" ht="18.5" x14ac:dyDescent="0.35">
      <c r="A297" s="70" t="s">
        <v>149</v>
      </c>
      <c r="B297" s="75" t="s">
        <v>150</v>
      </c>
      <c r="C297" s="76" t="s">
        <v>93</v>
      </c>
      <c r="D297" s="86">
        <f>44.12*0.12*1.2</f>
        <v>6.3532799999999989</v>
      </c>
      <c r="E297" s="78"/>
      <c r="F297" s="79"/>
    </row>
    <row r="298" spans="1:6" ht="15" x14ac:dyDescent="0.35">
      <c r="A298" s="70" t="s">
        <v>70</v>
      </c>
      <c r="B298" s="72" t="s">
        <v>112</v>
      </c>
      <c r="C298" s="72" t="s">
        <v>70</v>
      </c>
      <c r="D298" s="73" t="s">
        <v>70</v>
      </c>
      <c r="E298" s="72"/>
      <c r="F298" s="87"/>
    </row>
    <row r="299" spans="1:6" ht="15.5" x14ac:dyDescent="0.35">
      <c r="A299" s="70" t="s">
        <v>79</v>
      </c>
      <c r="B299" s="71" t="s">
        <v>113</v>
      </c>
      <c r="C299" s="76" t="s">
        <v>84</v>
      </c>
      <c r="D299" s="85" t="s">
        <v>70</v>
      </c>
      <c r="E299" s="76"/>
      <c r="F299" s="89"/>
    </row>
    <row r="300" spans="1:6" ht="18.5" x14ac:dyDescent="0.35">
      <c r="A300" s="70" t="s">
        <v>114</v>
      </c>
      <c r="B300" s="75" t="s">
        <v>115</v>
      </c>
      <c r="C300" s="76" t="s">
        <v>109</v>
      </c>
      <c r="D300" s="86">
        <f>(4.4*34.5)*1.2</f>
        <v>182.16</v>
      </c>
      <c r="E300" s="78"/>
      <c r="F300" s="79"/>
    </row>
    <row r="301" spans="1:6" ht="18.5" x14ac:dyDescent="0.35">
      <c r="A301" s="70" t="s">
        <v>116</v>
      </c>
      <c r="B301" s="137" t="s">
        <v>117</v>
      </c>
      <c r="C301" s="76" t="s">
        <v>93</v>
      </c>
      <c r="D301" s="86">
        <f>(0.15*0.15*4)*9*1.2</f>
        <v>0.97199999999999986</v>
      </c>
      <c r="E301" s="78"/>
      <c r="F301" s="79"/>
    </row>
    <row r="302" spans="1:6" ht="18.5" x14ac:dyDescent="0.35">
      <c r="A302" s="70" t="s">
        <v>118</v>
      </c>
      <c r="B302" s="75" t="s">
        <v>119</v>
      </c>
      <c r="C302" s="76" t="s">
        <v>93</v>
      </c>
      <c r="D302" s="86">
        <f>(34.5*0.15*0.1)*1.2</f>
        <v>0.62099999999999989</v>
      </c>
      <c r="E302" s="78"/>
      <c r="F302" s="79"/>
    </row>
    <row r="303" spans="1:6" ht="18.5" x14ac:dyDescent="0.35">
      <c r="A303" s="70" t="s">
        <v>120</v>
      </c>
      <c r="B303" s="75" t="s">
        <v>121</v>
      </c>
      <c r="C303" s="76" t="s">
        <v>93</v>
      </c>
      <c r="D303" s="86">
        <f>(34.5*0.15*0.2)*1.2</f>
        <v>1.2419999999999998</v>
      </c>
      <c r="E303" s="78"/>
      <c r="F303" s="79"/>
    </row>
    <row r="304" spans="1:6" ht="18.5" x14ac:dyDescent="0.35">
      <c r="A304" s="70" t="s">
        <v>151</v>
      </c>
      <c r="B304" s="75" t="s">
        <v>119</v>
      </c>
      <c r="C304" s="76" t="s">
        <v>93</v>
      </c>
      <c r="D304" s="86">
        <f>(34.5*0.15*0.1)*1.2</f>
        <v>0.62099999999999989</v>
      </c>
      <c r="E304" s="78"/>
      <c r="F304" s="79"/>
    </row>
    <row r="305" spans="1:6" ht="18.5" x14ac:dyDescent="0.35">
      <c r="A305" s="70" t="s">
        <v>152</v>
      </c>
      <c r="B305" s="75" t="s">
        <v>153</v>
      </c>
      <c r="C305" s="76" t="s">
        <v>93</v>
      </c>
      <c r="D305" s="86">
        <f>(34.5*0.15*0.2)*1.2</f>
        <v>1.2419999999999998</v>
      </c>
      <c r="E305" s="78"/>
      <c r="F305" s="79"/>
    </row>
    <row r="306" spans="1:6" ht="18.5" x14ac:dyDescent="0.35">
      <c r="A306" s="70" t="s">
        <v>154</v>
      </c>
      <c r="B306" s="75" t="s">
        <v>155</v>
      </c>
      <c r="C306" s="76" t="s">
        <v>93</v>
      </c>
      <c r="D306" s="86">
        <v>0</v>
      </c>
      <c r="E306" s="78"/>
      <c r="F306" s="79"/>
    </row>
    <row r="307" spans="1:6" ht="15" x14ac:dyDescent="0.35">
      <c r="A307" s="70" t="s">
        <v>70</v>
      </c>
      <c r="B307" s="72" t="s">
        <v>122</v>
      </c>
      <c r="C307" s="72" t="s">
        <v>70</v>
      </c>
      <c r="D307" s="73" t="s">
        <v>70</v>
      </c>
      <c r="E307" s="72"/>
      <c r="F307" s="87"/>
    </row>
    <row r="308" spans="1:6" ht="15.5" x14ac:dyDescent="0.35">
      <c r="A308" s="70" t="s">
        <v>81</v>
      </c>
      <c r="B308" s="71" t="s">
        <v>156</v>
      </c>
      <c r="C308" s="76" t="s">
        <v>84</v>
      </c>
      <c r="D308" s="85" t="s">
        <v>70</v>
      </c>
      <c r="E308" s="76"/>
      <c r="F308" s="89"/>
    </row>
    <row r="309" spans="1:6" ht="31" x14ac:dyDescent="0.35">
      <c r="A309" s="70" t="s">
        <v>135</v>
      </c>
      <c r="B309" s="75" t="s">
        <v>198</v>
      </c>
      <c r="C309" s="76" t="s">
        <v>109</v>
      </c>
      <c r="D309" s="77">
        <f>(7.8*6.3)*1.5</f>
        <v>73.710000000000008</v>
      </c>
      <c r="E309" s="78"/>
      <c r="F309" s="79"/>
    </row>
    <row r="310" spans="1:6" ht="31" x14ac:dyDescent="0.35">
      <c r="A310" s="70" t="s">
        <v>158</v>
      </c>
      <c r="B310" s="75" t="s">
        <v>159</v>
      </c>
      <c r="C310" s="76" t="s">
        <v>90</v>
      </c>
      <c r="D310" s="77">
        <f>6.3*2*1.2</f>
        <v>15.12</v>
      </c>
      <c r="E310" s="78"/>
      <c r="F310" s="79"/>
    </row>
    <row r="311" spans="1:6" ht="31" x14ac:dyDescent="0.35">
      <c r="A311" s="70" t="s">
        <v>160</v>
      </c>
      <c r="B311" s="75" t="s">
        <v>161</v>
      </c>
      <c r="C311" s="76" t="s">
        <v>90</v>
      </c>
      <c r="D311" s="77">
        <f>7.8*5*1.2</f>
        <v>46.8</v>
      </c>
      <c r="E311" s="78"/>
      <c r="F311" s="79"/>
    </row>
    <row r="312" spans="1:6" ht="18.5" x14ac:dyDescent="0.35">
      <c r="A312" s="70" t="s">
        <v>162</v>
      </c>
      <c r="B312" s="75" t="s">
        <v>163</v>
      </c>
      <c r="C312" s="76" t="s">
        <v>109</v>
      </c>
      <c r="D312" s="77">
        <v>0</v>
      </c>
      <c r="E312" s="78"/>
      <c r="F312" s="79"/>
    </row>
    <row r="313" spans="1:6" ht="15" x14ac:dyDescent="0.35">
      <c r="A313" s="70" t="s">
        <v>70</v>
      </c>
      <c r="B313" s="72" t="s">
        <v>137</v>
      </c>
      <c r="C313" s="72" t="s">
        <v>70</v>
      </c>
      <c r="D313" s="73" t="s">
        <v>70</v>
      </c>
      <c r="E313" s="72"/>
      <c r="F313" s="87"/>
    </row>
    <row r="314" spans="1:6" ht="15.5" x14ac:dyDescent="0.35">
      <c r="A314" s="70" t="s">
        <v>164</v>
      </c>
      <c r="B314" s="71" t="s">
        <v>134</v>
      </c>
      <c r="C314" s="76" t="s">
        <v>84</v>
      </c>
      <c r="D314" s="85" t="s">
        <v>70</v>
      </c>
      <c r="E314" s="76"/>
      <c r="F314" s="89"/>
    </row>
    <row r="315" spans="1:6" ht="31" x14ac:dyDescent="0.35">
      <c r="A315" s="70" t="s">
        <v>165</v>
      </c>
      <c r="B315" s="75" t="s">
        <v>166</v>
      </c>
      <c r="C315" s="76" t="s">
        <v>2</v>
      </c>
      <c r="D315" s="77">
        <v>1</v>
      </c>
      <c r="E315" s="78"/>
      <c r="F315" s="79"/>
    </row>
    <row r="316" spans="1:6" ht="31" x14ac:dyDescent="0.35">
      <c r="A316" s="70" t="s">
        <v>165</v>
      </c>
      <c r="B316" s="75" t="s">
        <v>167</v>
      </c>
      <c r="C316" s="76" t="s">
        <v>2</v>
      </c>
      <c r="D316" s="77">
        <v>1</v>
      </c>
      <c r="E316" s="78"/>
      <c r="F316" s="79"/>
    </row>
    <row r="317" spans="1:6" ht="31" x14ac:dyDescent="0.35">
      <c r="A317" s="70" t="s">
        <v>168</v>
      </c>
      <c r="B317" s="75" t="s">
        <v>169</v>
      </c>
      <c r="C317" s="76" t="s">
        <v>2</v>
      </c>
      <c r="D317" s="77">
        <v>2</v>
      </c>
      <c r="E317" s="78"/>
      <c r="F317" s="79"/>
    </row>
    <row r="318" spans="1:6" ht="15" x14ac:dyDescent="0.35">
      <c r="A318" s="70" t="s">
        <v>70</v>
      </c>
      <c r="B318" s="72" t="s">
        <v>172</v>
      </c>
      <c r="C318" s="72" t="s">
        <v>70</v>
      </c>
      <c r="D318" s="73" t="s">
        <v>70</v>
      </c>
      <c r="E318" s="72"/>
      <c r="F318" s="87"/>
    </row>
    <row r="319" spans="1:6" ht="15.5" x14ac:dyDescent="0.35">
      <c r="A319" s="70" t="s">
        <v>123</v>
      </c>
      <c r="B319" s="71" t="s">
        <v>124</v>
      </c>
      <c r="C319" s="76" t="s">
        <v>84</v>
      </c>
      <c r="D319" s="86" t="s">
        <v>84</v>
      </c>
      <c r="E319" s="76"/>
      <c r="F319" s="89"/>
    </row>
    <row r="320" spans="1:6" ht="18.5" x14ac:dyDescent="0.35">
      <c r="A320" s="70" t="s">
        <v>125</v>
      </c>
      <c r="B320" s="75" t="s">
        <v>126</v>
      </c>
      <c r="C320" s="76" t="s">
        <v>109</v>
      </c>
      <c r="D320" s="77">
        <f>(38.7*3.65)*1.2</f>
        <v>169.506</v>
      </c>
      <c r="E320" s="78"/>
      <c r="F320" s="79"/>
    </row>
    <row r="321" spans="1:6" ht="18.5" x14ac:dyDescent="0.35">
      <c r="A321" s="70" t="s">
        <v>173</v>
      </c>
      <c r="B321" s="75" t="s">
        <v>128</v>
      </c>
      <c r="C321" s="76" t="s">
        <v>109</v>
      </c>
      <c r="D321" s="77">
        <f>(28.2*4.85)*1.2</f>
        <v>164.12399999999997</v>
      </c>
      <c r="E321" s="78"/>
      <c r="F321" s="79"/>
    </row>
    <row r="322" spans="1:6" ht="18.5" x14ac:dyDescent="0.35">
      <c r="A322" s="70" t="s">
        <v>174</v>
      </c>
      <c r="B322" s="75" t="s">
        <v>130</v>
      </c>
      <c r="C322" s="76" t="s">
        <v>109</v>
      </c>
      <c r="D322" s="77">
        <f>+D320</f>
        <v>169.506</v>
      </c>
      <c r="E322" s="78"/>
      <c r="F322" s="79"/>
    </row>
    <row r="323" spans="1:6" ht="18.5" x14ac:dyDescent="0.35">
      <c r="A323" s="70" t="s">
        <v>131</v>
      </c>
      <c r="B323" s="75" t="s">
        <v>132</v>
      </c>
      <c r="C323" s="76" t="s">
        <v>109</v>
      </c>
      <c r="D323" s="77">
        <f>+D321</f>
        <v>164.12399999999997</v>
      </c>
      <c r="E323" s="78"/>
      <c r="F323" s="79"/>
    </row>
    <row r="324" spans="1:6" ht="18.5" x14ac:dyDescent="0.35">
      <c r="A324" s="70" t="s">
        <v>175</v>
      </c>
      <c r="B324" s="75" t="s">
        <v>176</v>
      </c>
      <c r="C324" s="76" t="s">
        <v>109</v>
      </c>
      <c r="D324" s="77">
        <v>0</v>
      </c>
      <c r="E324" s="78"/>
      <c r="F324" s="79"/>
    </row>
    <row r="325" spans="1:6" ht="18.5" x14ac:dyDescent="0.35">
      <c r="A325" s="70" t="s">
        <v>177</v>
      </c>
      <c r="B325" s="75" t="s">
        <v>178</v>
      </c>
      <c r="C325" s="76" t="s">
        <v>109</v>
      </c>
      <c r="D325" s="77">
        <f>44.12*1.2</f>
        <v>52.943999999999996</v>
      </c>
      <c r="E325" s="78"/>
      <c r="F325" s="79"/>
    </row>
    <row r="326" spans="1:6" ht="15" x14ac:dyDescent="0.35">
      <c r="A326" s="70" t="s">
        <v>70</v>
      </c>
      <c r="B326" s="72" t="s">
        <v>133</v>
      </c>
      <c r="C326" s="72" t="s">
        <v>70</v>
      </c>
      <c r="D326" s="73" t="s">
        <v>70</v>
      </c>
      <c r="E326" s="72"/>
      <c r="F326" s="87"/>
    </row>
    <row r="327" spans="1:6" ht="15.5" x14ac:dyDescent="0.35">
      <c r="A327" s="80" t="s">
        <v>70</v>
      </c>
      <c r="B327" s="81" t="s">
        <v>275</v>
      </c>
      <c r="C327" s="82" t="s">
        <v>84</v>
      </c>
      <c r="D327" s="83" t="s">
        <v>84</v>
      </c>
      <c r="E327" s="82"/>
      <c r="F327" s="84"/>
    </row>
    <row r="328" spans="1:6" ht="15.5" x14ac:dyDescent="0.35">
      <c r="A328" s="80" t="s">
        <v>70</v>
      </c>
      <c r="B328" s="81" t="s">
        <v>276</v>
      </c>
      <c r="C328" s="136" t="s">
        <v>70</v>
      </c>
      <c r="D328" s="138" t="s">
        <v>70</v>
      </c>
      <c r="E328" s="82"/>
      <c r="F328" s="84"/>
    </row>
    <row r="329" spans="1:6" ht="15" x14ac:dyDescent="0.35">
      <c r="A329" s="179" t="s">
        <v>259</v>
      </c>
      <c r="B329" s="180"/>
      <c r="C329" s="180"/>
      <c r="D329" s="180"/>
      <c r="E329" s="180"/>
      <c r="F329" s="181"/>
    </row>
    <row r="330" spans="1:6" ht="15" x14ac:dyDescent="0.35">
      <c r="A330" s="65" t="s">
        <v>71</v>
      </c>
      <c r="B330" s="66" t="s">
        <v>260</v>
      </c>
      <c r="C330" s="67" t="s">
        <v>70</v>
      </c>
      <c r="D330" s="68" t="s">
        <v>70</v>
      </c>
      <c r="E330" s="67" t="s">
        <v>84</v>
      </c>
      <c r="F330" s="69" t="s">
        <v>261</v>
      </c>
    </row>
    <row r="331" spans="1:6" ht="31" x14ac:dyDescent="0.35">
      <c r="A331" s="126" t="s">
        <v>262</v>
      </c>
      <c r="B331" s="75" t="s">
        <v>263</v>
      </c>
      <c r="C331" s="76" t="s">
        <v>84</v>
      </c>
      <c r="D331" s="86" t="s">
        <v>84</v>
      </c>
      <c r="E331" s="76" t="s">
        <v>84</v>
      </c>
      <c r="F331" s="79"/>
    </row>
    <row r="332" spans="1:6" ht="15.5" x14ac:dyDescent="0.35">
      <c r="A332" s="126" t="s">
        <v>85</v>
      </c>
      <c r="B332" s="75" t="s">
        <v>274</v>
      </c>
      <c r="C332" s="76" t="s">
        <v>84</v>
      </c>
      <c r="D332" s="86" t="s">
        <v>84</v>
      </c>
      <c r="E332" s="76" t="s">
        <v>84</v>
      </c>
      <c r="F332" s="79"/>
    </row>
    <row r="333" spans="1:6" ht="15.5" thickBot="1" x14ac:dyDescent="0.4">
      <c r="A333" s="139" t="s">
        <v>70</v>
      </c>
      <c r="B333" s="140" t="s">
        <v>277</v>
      </c>
      <c r="C333" s="141" t="s">
        <v>70</v>
      </c>
      <c r="D333" s="142" t="s">
        <v>70</v>
      </c>
      <c r="E333" s="141" t="s">
        <v>84</v>
      </c>
      <c r="F333" s="143"/>
    </row>
  </sheetData>
  <mergeCells count="18">
    <mergeCell ref="B159:F159"/>
    <mergeCell ref="B212:F212"/>
    <mergeCell ref="A6:F6"/>
    <mergeCell ref="A7:F7"/>
    <mergeCell ref="B15:F15"/>
    <mergeCell ref="B47:F47"/>
    <mergeCell ref="B103:F103"/>
    <mergeCell ref="A1:F1"/>
    <mergeCell ref="A2:F2"/>
    <mergeCell ref="A3:F3"/>
    <mergeCell ref="A4:F4"/>
    <mergeCell ref="A5:F5"/>
    <mergeCell ref="A272:F272"/>
    <mergeCell ref="B281:F281"/>
    <mergeCell ref="A329:F329"/>
    <mergeCell ref="A271:F271"/>
    <mergeCell ref="B251:F251"/>
    <mergeCell ref="A260:F2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DQ LOT1 Tranche ferme</vt:lpstr>
      <vt:lpstr>DQ LOT2 Tranche ferme</vt:lpstr>
      <vt:lpstr>DQ LOT3 Tranche ferme</vt:lpstr>
      <vt:lpstr>DQ LOT4 Tranche ferme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DIAKITÉ, Adama</dc:creator>
  <cp:lastModifiedBy>KONATE, Oumar</cp:lastModifiedBy>
  <dcterms:created xsi:type="dcterms:W3CDTF">2025-07-17T08:33:11Z</dcterms:created>
  <dcterms:modified xsi:type="dcterms:W3CDTF">2025-09-24T08:12:33Z</dcterms:modified>
</cp:coreProperties>
</file>