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nabelbe.sharepoint.com/sites/SEN/Contracts/21_Marchés_Publics/SEN2400311_Intervention 2/MP_plus30k/SEN24003-10016_Construction bloc opératoire DS Kaolack/2_CSC/"/>
    </mc:Choice>
  </mc:AlternateContent>
  <xr:revisionPtr revIDLastSave="1022" documentId="8_{6FFE4B9A-0C12-4DA1-951F-68505FB580D9}" xr6:coauthVersionLast="47" xr6:coauthVersionMax="47" xr10:uidLastSave="{28CEC4CE-6688-4DD9-B7FF-C7E1CD703009}"/>
  <bookViews>
    <workbookView xWindow="-110" yWindow="-110" windowWidth="19420" windowHeight="10300" tabRatio="911" activeTab="2" xr2:uid="{00000000-000D-0000-FFFF-FFFF00000000}"/>
  </bookViews>
  <sheets>
    <sheet name="R+1 Bloc, néonat, hos" sheetId="1" r:id="rId1"/>
    <sheet name="Buanderie, locaux fluides &amp; déc" sheetId="4" r:id="rId2"/>
    <sheet name="UTM" sheetId="2" r:id="rId3"/>
    <sheet name="Aménagements et Divers" sheetId="5" r:id="rId4"/>
    <sheet name="RECAP" sheetId="6" r:id="rId5"/>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8" i="1" l="1"/>
  <c r="E141" i="2" l="1"/>
  <c r="E142" i="2"/>
  <c r="E143" i="2"/>
  <c r="E219" i="1"/>
  <c r="E236" i="1"/>
  <c r="E196" i="1"/>
  <c r="E197" i="1"/>
  <c r="E198" i="1"/>
  <c r="E199" i="1"/>
  <c r="E200" i="1"/>
  <c r="E201" i="1"/>
  <c r="E202" i="1"/>
  <c r="E203" i="1"/>
  <c r="E204" i="1"/>
  <c r="E205" i="1"/>
  <c r="E206" i="1"/>
  <c r="E207" i="1"/>
  <c r="E208" i="1"/>
  <c r="E8" i="1" l="1"/>
  <c r="E7" i="1"/>
  <c r="E6" i="1"/>
  <c r="E9" i="1" s="1"/>
  <c r="E14" i="5" l="1"/>
  <c r="E13" i="5"/>
  <c r="E15" i="5" s="1"/>
  <c r="E6" i="5"/>
  <c r="E7" i="5" s="1"/>
  <c r="E20" i="5"/>
  <c r="E19" i="5"/>
  <c r="E18" i="5"/>
  <c r="E21" i="5" s="1"/>
  <c r="E10" i="5"/>
  <c r="E9" i="5"/>
  <c r="E114" i="4"/>
  <c r="E113" i="4"/>
  <c r="E112" i="4"/>
  <c r="E111" i="4"/>
  <c r="E110" i="4"/>
  <c r="E109" i="4"/>
  <c r="E108" i="4"/>
  <c r="E107" i="4"/>
  <c r="E105" i="4"/>
  <c r="E100" i="4"/>
  <c r="E101" i="4" s="1"/>
  <c r="E95" i="4"/>
  <c r="E98" i="4" s="1"/>
  <c r="E92" i="4"/>
  <c r="E91" i="4"/>
  <c r="E90" i="4"/>
  <c r="E89" i="4"/>
  <c r="E88" i="4"/>
  <c r="E87" i="4"/>
  <c r="E86" i="4"/>
  <c r="E85" i="4"/>
  <c r="E84" i="4"/>
  <c r="E83" i="4"/>
  <c r="E82" i="4"/>
  <c r="E80" i="4"/>
  <c r="E78" i="4"/>
  <c r="E74" i="4"/>
  <c r="E73" i="4"/>
  <c r="E71" i="4"/>
  <c r="E67" i="4"/>
  <c r="E62" i="4"/>
  <c r="E61" i="4"/>
  <c r="C54" i="4"/>
  <c r="E54" i="4" s="1"/>
  <c r="C53" i="4"/>
  <c r="E53" i="4" s="1"/>
  <c r="C52" i="4"/>
  <c r="E52" i="4" s="1"/>
  <c r="E51" i="4"/>
  <c r="C43" i="4"/>
  <c r="E43" i="4" s="1"/>
  <c r="C42" i="4"/>
  <c r="E42" i="4" s="1"/>
  <c r="E40" i="4"/>
  <c r="C37" i="4"/>
  <c r="C41" i="4" s="1"/>
  <c r="C34" i="4"/>
  <c r="E34" i="4" s="1"/>
  <c r="C33" i="4"/>
  <c r="E33" i="4" s="1"/>
  <c r="C32" i="4"/>
  <c r="E32" i="4" s="1"/>
  <c r="E31" i="4"/>
  <c r="C30" i="4"/>
  <c r="E30" i="4" s="1"/>
  <c r="C29" i="4"/>
  <c r="E29" i="4" s="1"/>
  <c r="C28" i="4"/>
  <c r="E28" i="4" s="1"/>
  <c r="E25" i="4"/>
  <c r="C24" i="4"/>
  <c r="E24" i="4" s="1"/>
  <c r="C21" i="4"/>
  <c r="E21" i="4" s="1"/>
  <c r="C20" i="4"/>
  <c r="E20" i="4" s="1"/>
  <c r="C19" i="4"/>
  <c r="E19" i="4" s="1"/>
  <c r="C18" i="4"/>
  <c r="E18" i="4" s="1"/>
  <c r="C17" i="4"/>
  <c r="E17" i="4" s="1"/>
  <c r="E14" i="4"/>
  <c r="C12" i="4"/>
  <c r="C11" i="4"/>
  <c r="E11" i="4" s="1"/>
  <c r="E6" i="4"/>
  <c r="E7" i="4" s="1"/>
  <c r="E146" i="2"/>
  <c r="E145" i="2"/>
  <c r="E144" i="2"/>
  <c r="E140" i="2"/>
  <c r="E139" i="2"/>
  <c r="E138" i="2"/>
  <c r="E137" i="2"/>
  <c r="E136" i="2"/>
  <c r="E135" i="2"/>
  <c r="E134" i="2"/>
  <c r="E133" i="2"/>
  <c r="E131" i="2"/>
  <c r="E127" i="2"/>
  <c r="E126" i="2"/>
  <c r="E125" i="2"/>
  <c r="E128" i="2" s="1"/>
  <c r="E122" i="2"/>
  <c r="E123" i="2" s="1"/>
  <c r="E117" i="2"/>
  <c r="E120" i="2" s="1"/>
  <c r="E114" i="2"/>
  <c r="E113" i="2"/>
  <c r="E112" i="2"/>
  <c r="E111" i="2"/>
  <c r="E110" i="2"/>
  <c r="E109" i="2"/>
  <c r="E108" i="2"/>
  <c r="E107" i="2"/>
  <c r="E106" i="2"/>
  <c r="E105" i="2"/>
  <c r="E104" i="2"/>
  <c r="E103" i="2"/>
  <c r="E102" i="2"/>
  <c r="E101" i="2"/>
  <c r="E100" i="2"/>
  <c r="E99" i="2"/>
  <c r="E98" i="2"/>
  <c r="E97" i="2"/>
  <c r="E96" i="2"/>
  <c r="E94" i="2"/>
  <c r="E92" i="2"/>
  <c r="E88" i="2"/>
  <c r="E87" i="2"/>
  <c r="E89" i="2" s="1"/>
  <c r="E84" i="2"/>
  <c r="E83" i="2"/>
  <c r="E85" i="2" s="1"/>
  <c r="E80" i="2"/>
  <c r="E79" i="2"/>
  <c r="E78" i="2"/>
  <c r="E81" i="2" s="1"/>
  <c r="E73" i="2"/>
  <c r="E72" i="2"/>
  <c r="E71" i="2"/>
  <c r="E70" i="2"/>
  <c r="E64" i="2"/>
  <c r="E63" i="2"/>
  <c r="E62" i="2"/>
  <c r="E61" i="2"/>
  <c r="E60" i="2"/>
  <c r="E56" i="2"/>
  <c r="C55" i="2"/>
  <c r="E55" i="2" s="1"/>
  <c r="C54" i="2"/>
  <c r="E54" i="2" s="1"/>
  <c r="E53" i="2"/>
  <c r="C45" i="2"/>
  <c r="C52" i="2" s="1"/>
  <c r="E52" i="2" s="1"/>
  <c r="C44" i="2"/>
  <c r="E44" i="2" s="1"/>
  <c r="E42" i="2"/>
  <c r="C39" i="2"/>
  <c r="C43" i="2" s="1"/>
  <c r="E43" i="2" s="1"/>
  <c r="C36" i="2"/>
  <c r="E36" i="2" s="1"/>
  <c r="C35" i="2"/>
  <c r="E35" i="2" s="1"/>
  <c r="C34" i="2"/>
  <c r="E34" i="2" s="1"/>
  <c r="E33" i="2"/>
  <c r="C32" i="2"/>
  <c r="E32" i="2" s="1"/>
  <c r="C31" i="2"/>
  <c r="E31" i="2" s="1"/>
  <c r="C30" i="2"/>
  <c r="E30" i="2" s="1"/>
  <c r="E27" i="2"/>
  <c r="C26" i="2"/>
  <c r="E26" i="2" s="1"/>
  <c r="E28" i="2" s="1"/>
  <c r="C23" i="2"/>
  <c r="E23" i="2" s="1"/>
  <c r="C22" i="2"/>
  <c r="E22" i="2" s="1"/>
  <c r="C21" i="2"/>
  <c r="E21" i="2" s="1"/>
  <c r="C20" i="2"/>
  <c r="E20" i="2" s="1"/>
  <c r="C19" i="2"/>
  <c r="E19" i="2" s="1"/>
  <c r="C18" i="2"/>
  <c r="E18" i="2" s="1"/>
  <c r="C15" i="2"/>
  <c r="E15" i="2" s="1"/>
  <c r="E14" i="2"/>
  <c r="C12" i="2"/>
  <c r="C11" i="2"/>
  <c r="E11" i="2" s="1"/>
  <c r="E6" i="2"/>
  <c r="E7" i="2" s="1"/>
  <c r="E11" i="5" l="1"/>
  <c r="E23" i="5" s="1"/>
  <c r="E147" i="2"/>
  <c r="E115" i="2"/>
  <c r="E90" i="2"/>
  <c r="E74" i="2"/>
  <c r="E65" i="2"/>
  <c r="E57" i="2"/>
  <c r="E46" i="2"/>
  <c r="E37" i="2"/>
  <c r="E24" i="2"/>
  <c r="E115" i="4"/>
  <c r="E93" i="4"/>
  <c r="E102" i="4" s="1"/>
  <c r="C13" i="2"/>
  <c r="E13" i="2" s="1"/>
  <c r="E75" i="4"/>
  <c r="E76" i="4" s="1"/>
  <c r="E26" i="4"/>
  <c r="E22" i="4"/>
  <c r="E35" i="4"/>
  <c r="C60" i="4"/>
  <c r="E60" i="4" s="1"/>
  <c r="C50" i="4"/>
  <c r="E50" i="4" s="1"/>
  <c r="E55" i="4" s="1"/>
  <c r="C13" i="4"/>
  <c r="E13" i="4" s="1"/>
  <c r="C58" i="4"/>
  <c r="E58" i="4" s="1"/>
  <c r="E41" i="4"/>
  <c r="E44" i="4" s="1"/>
  <c r="C59" i="4"/>
  <c r="E59" i="4" s="1"/>
  <c r="E12" i="4"/>
  <c r="E37" i="4"/>
  <c r="E38" i="4" s="1"/>
  <c r="E12" i="2"/>
  <c r="E16" i="2" s="1"/>
  <c r="E39" i="2"/>
  <c r="E40" i="2" s="1"/>
  <c r="E45" i="2"/>
  <c r="E47" i="2" l="1"/>
  <c r="E64" i="4"/>
  <c r="E116" i="4" s="1"/>
  <c r="C10" i="6"/>
  <c r="E148" i="2"/>
  <c r="E63" i="4"/>
  <c r="E15" i="4"/>
  <c r="E45" i="4" s="1"/>
  <c r="E150" i="2" l="1"/>
  <c r="C9" i="6" s="1"/>
  <c r="E118" i="4"/>
  <c r="C11" i="6" l="1"/>
  <c r="E108" i="1"/>
  <c r="C3" i="6" l="1"/>
  <c r="C62" i="1"/>
  <c r="C54" i="1"/>
  <c r="C53" i="1"/>
  <c r="C48" i="1"/>
  <c r="C47" i="1"/>
  <c r="C43" i="1"/>
  <c r="C35" i="1"/>
  <c r="C29" i="1"/>
  <c r="C28" i="1"/>
  <c r="C25" i="1" l="1"/>
  <c r="C24" i="1"/>
  <c r="C14" i="1"/>
  <c r="C23" i="1"/>
  <c r="C22" i="1"/>
  <c r="C59" i="1" l="1"/>
  <c r="C38" i="1"/>
  <c r="C16" i="1"/>
  <c r="C15" i="1"/>
  <c r="C13" i="1"/>
  <c r="E241" i="1" l="1"/>
  <c r="E242" i="1"/>
  <c r="E243" i="1"/>
  <c r="E218" i="1"/>
  <c r="E220" i="1"/>
  <c r="E222" i="1"/>
  <c r="E223" i="1"/>
  <c r="E224" i="1"/>
  <c r="E225" i="1"/>
  <c r="E226" i="1"/>
  <c r="E232" i="1"/>
  <c r="E233" i="1"/>
  <c r="E234" i="1"/>
  <c r="E212" i="1"/>
  <c r="E211" i="1"/>
  <c r="E210" i="1"/>
  <c r="E209" i="1"/>
  <c r="E195" i="1"/>
  <c r="E193" i="1"/>
  <c r="E188" i="1"/>
  <c r="E187" i="1"/>
  <c r="E185" i="1"/>
  <c r="E180" i="1"/>
  <c r="E181" i="1"/>
  <c r="E182" i="1"/>
  <c r="E165" i="1"/>
  <c r="E164" i="1"/>
  <c r="E163" i="1"/>
  <c r="E178" i="1" s="1"/>
  <c r="E177" i="1"/>
  <c r="E160" i="1"/>
  <c r="E159" i="1"/>
  <c r="E158" i="1"/>
  <c r="E157" i="1"/>
  <c r="E156" i="1"/>
  <c r="E155" i="1"/>
  <c r="E154" i="1"/>
  <c r="E153" i="1"/>
  <c r="E152" i="1"/>
  <c r="E151" i="1"/>
  <c r="E150" i="1"/>
  <c r="E149" i="1"/>
  <c r="E148" i="1"/>
  <c r="E147" i="1"/>
  <c r="E146" i="1"/>
  <c r="E145" i="1"/>
  <c r="E144" i="1"/>
  <c r="E143" i="1"/>
  <c r="E142" i="1"/>
  <c r="E141" i="1"/>
  <c r="E140" i="1"/>
  <c r="E139" i="1"/>
  <c r="E138" i="1"/>
  <c r="E136" i="1"/>
  <c r="E135" i="1"/>
  <c r="E134" i="1"/>
  <c r="E131" i="1"/>
  <c r="E132" i="1" s="1"/>
  <c r="E126" i="1"/>
  <c r="E128" i="1" s="1"/>
  <c r="E127" i="1"/>
  <c r="E121" i="1"/>
  <c r="E122" i="1"/>
  <c r="E123" i="1"/>
  <c r="E124" i="1"/>
  <c r="E116" i="1"/>
  <c r="E117" i="1" s="1"/>
  <c r="E113" i="1"/>
  <c r="E111" i="1"/>
  <c r="E107" i="1"/>
  <c r="E106" i="1"/>
  <c r="E102" i="1"/>
  <c r="E101" i="1"/>
  <c r="E94" i="1"/>
  <c r="E93" i="1"/>
  <c r="E95" i="1" s="1"/>
  <c r="E88" i="1"/>
  <c r="E87" i="1"/>
  <c r="C89" i="1"/>
  <c r="E89" i="1" s="1"/>
  <c r="E90" i="1"/>
  <c r="E86" i="1"/>
  <c r="E82" i="1"/>
  <c r="E81" i="1"/>
  <c r="E80" i="1"/>
  <c r="C79" i="1"/>
  <c r="E79" i="1" s="1"/>
  <c r="C78" i="1"/>
  <c r="E78" i="1" s="1"/>
  <c r="E77" i="1"/>
  <c r="E76" i="1"/>
  <c r="E68" i="1"/>
  <c r="C67" i="1"/>
  <c r="E67" i="1" s="1"/>
  <c r="C66" i="1"/>
  <c r="E66" i="1" s="1"/>
  <c r="C65" i="1"/>
  <c r="E65" i="1" s="1"/>
  <c r="E62" i="1"/>
  <c r="E63" i="1" s="1"/>
  <c r="E59" i="1"/>
  <c r="E58" i="1"/>
  <c r="C57" i="1"/>
  <c r="E57" i="1" s="1"/>
  <c r="C56" i="1"/>
  <c r="E56" i="1" s="1"/>
  <c r="C55" i="1"/>
  <c r="E55" i="1" s="1"/>
  <c r="E54" i="1"/>
  <c r="E53" i="1"/>
  <c r="E49" i="1"/>
  <c r="E48" i="1"/>
  <c r="E47" i="1"/>
  <c r="C46" i="1"/>
  <c r="E46" i="1" s="1"/>
  <c r="E43" i="1"/>
  <c r="E44" i="1" s="1"/>
  <c r="C32" i="1"/>
  <c r="E32" i="1" s="1"/>
  <c r="C33" i="1"/>
  <c r="E33" i="1" s="1"/>
  <c r="C34" i="1"/>
  <c r="E34" i="1" s="1"/>
  <c r="E35" i="1"/>
  <c r="C36" i="1"/>
  <c r="E36" i="1" s="1"/>
  <c r="E37" i="1"/>
  <c r="E38" i="1"/>
  <c r="C39" i="1"/>
  <c r="E39" i="1" s="1"/>
  <c r="C40" i="1"/>
  <c r="E40" i="1" s="1"/>
  <c r="E29" i="1"/>
  <c r="E28" i="1"/>
  <c r="E25" i="1"/>
  <c r="E24" i="1"/>
  <c r="E23" i="1"/>
  <c r="C21" i="1"/>
  <c r="E21" i="1" s="1"/>
  <c r="E20" i="1"/>
  <c r="E17" i="1"/>
  <c r="E16" i="1"/>
  <c r="E15" i="1"/>
  <c r="E14" i="1"/>
  <c r="E13" i="1"/>
  <c r="E103" i="1"/>
  <c r="E104" i="1"/>
  <c r="E105" i="1"/>
  <c r="E186" i="1"/>
  <c r="E22" i="1"/>
  <c r="E244" i="1" l="1"/>
  <c r="E237" i="1"/>
  <c r="E213" i="1"/>
  <c r="E189" i="1"/>
  <c r="E183" i="1"/>
  <c r="E161" i="1"/>
  <c r="E125" i="1"/>
  <c r="E114" i="1"/>
  <c r="E109" i="1"/>
  <c r="E91" i="1"/>
  <c r="E83" i="1"/>
  <c r="E96" i="1" s="1"/>
  <c r="E30" i="1"/>
  <c r="E69" i="1"/>
  <c r="E60" i="1"/>
  <c r="E50" i="1"/>
  <c r="E18" i="1"/>
  <c r="E41" i="1"/>
  <c r="E26" i="1"/>
  <c r="E190" i="1" l="1"/>
  <c r="E214" i="1" s="1"/>
  <c r="E129" i="1"/>
  <c r="E70" i="1"/>
  <c r="E51" i="1"/>
  <c r="E71" i="1" l="1"/>
  <c r="E246" i="1" s="1"/>
  <c r="C2" i="6" s="1"/>
  <c r="C4" i="6" s="1"/>
  <c r="C15" i="6" s="1"/>
  <c r="C16" i="6" s="1"/>
  <c r="C17" i="6" s="1"/>
  <c r="C5" i="6" l="1"/>
  <c r="C6" i="6" s="1"/>
  <c r="C12" i="6" l="1"/>
  <c r="C13" i="6" s="1"/>
</calcChain>
</file>

<file path=xl/sharedStrings.xml><?xml version="1.0" encoding="utf-8"?>
<sst xmlns="http://schemas.openxmlformats.org/spreadsheetml/2006/main" count="861" uniqueCount="328">
  <si>
    <t>DESIGNATION DES OUVRAGES</t>
  </si>
  <si>
    <t>U</t>
  </si>
  <si>
    <t>Qte</t>
  </si>
  <si>
    <t>PRIX TOTAL</t>
  </si>
  <si>
    <t>INSTALLATION ETUDES ET SUIVI</t>
  </si>
  <si>
    <t>Ens</t>
  </si>
  <si>
    <t>ens</t>
  </si>
  <si>
    <t xml:space="preserve"> TOTAL Installation- Etudes et Suivi</t>
  </si>
  <si>
    <t xml:space="preserve">GROS ŒUVRE REZ DE CHAUSSE </t>
  </si>
  <si>
    <t xml:space="preserve">TERRASSEMENT </t>
  </si>
  <si>
    <t>Fouille en puits pour semelles isolées</t>
  </si>
  <si>
    <t>m3</t>
  </si>
  <si>
    <t>Fouille en rigoles pour longrines</t>
  </si>
  <si>
    <t>Remblais contre fondation provenant des fouilles</t>
  </si>
  <si>
    <t xml:space="preserve">Remblais sous dallage et compactage hydrolique  par apport de terre  en sable de dune </t>
  </si>
  <si>
    <t>Evacuations déblais excédentaires</t>
  </si>
  <si>
    <t>TOTAL Terrassement</t>
  </si>
  <si>
    <t>FONDATIONS</t>
  </si>
  <si>
    <t>Béton de propreté dosé à  150 pour semelles</t>
  </si>
  <si>
    <t>Béton de propreté dosé à  150 pour longrines et soubassement</t>
  </si>
  <si>
    <t>Béton armé 350 kg pour semelles</t>
  </si>
  <si>
    <t>Béton armé 350 kg pour amorce</t>
  </si>
  <si>
    <t xml:space="preserve">Maconnerie en agllos pleins  pour fondation </t>
  </si>
  <si>
    <t>m²</t>
  </si>
  <si>
    <t>Sous Total Fondation</t>
  </si>
  <si>
    <t xml:space="preserve">DALLAGE SOL </t>
  </si>
  <si>
    <t xml:space="preserve">Feuille anticontaminante en polyane </t>
  </si>
  <si>
    <t>Beton arme dallage epaisseur 13 cm (HA12 esp 15)</t>
  </si>
  <si>
    <t>Sous total Dallage</t>
  </si>
  <si>
    <t xml:space="preserve">Béton armé pour appui fenêtres linteaux, auvents en facade)  </t>
  </si>
  <si>
    <t xml:space="preserve">Beton arme pour paillasse </t>
  </si>
  <si>
    <t>Béton armé pour poutre et chainage</t>
  </si>
  <si>
    <t xml:space="preserve">Béton armé pour banc attente </t>
  </si>
  <si>
    <t xml:space="preserve">Poteaux en Béton armé </t>
  </si>
  <si>
    <t>Béton armé pour revers d'eau et béche</t>
  </si>
  <si>
    <t xml:space="preserve">TOTAL Elevation </t>
  </si>
  <si>
    <t xml:space="preserve">Maçonnerie en agglos creux de 15 </t>
  </si>
  <si>
    <t xml:space="preserve">TOTAL Maconnerie </t>
  </si>
  <si>
    <t xml:space="preserve">Enduit intérieurs lisses en mortier de ciment sur murs </t>
  </si>
  <si>
    <t>Enduit lisse sur murs  extérieurs en mortier de ciment</t>
  </si>
  <si>
    <t xml:space="preserve">Enduit intérieurs au mortier de ciment sous plafond </t>
  </si>
  <si>
    <t>TOTAL Enduit</t>
  </si>
  <si>
    <t xml:space="preserve">TOTAL GROS ŒUVRE </t>
  </si>
  <si>
    <t>SECOND ŒUVRE RDC</t>
  </si>
  <si>
    <t xml:space="preserve">FINITION DES SOLS ET ETANCHEITE                                                   </t>
  </si>
  <si>
    <t>F/P de carreaux sol en grès cérame 60 x 60 (1er choix) y/c carrelage escalier</t>
  </si>
  <si>
    <t xml:space="preserve">F/P de carreaux sol en grès cérame 30 x 30 (1er choix) antidérapant pour Toilettes </t>
  </si>
  <si>
    <t xml:space="preserve">Finition sol plinthes encastres </t>
  </si>
  <si>
    <t>ml</t>
  </si>
  <si>
    <t xml:space="preserve">fourniture et pose baguette de décoration </t>
  </si>
  <si>
    <t xml:space="preserve">Sous total Finition des sols </t>
  </si>
  <si>
    <t xml:space="preserve">PEINTURE                                      </t>
  </si>
  <si>
    <t xml:space="preserve">Obs: Pour cette rubrique prière chiffrer les préparations des surfaces et les finitions tel que spécifiés dans les plans </t>
  </si>
  <si>
    <t xml:space="preserve">Travaux preparatoir de poncage et de gratage  </t>
  </si>
  <si>
    <t>Peinture intérieure sur murs avec 1 couche d'impression, 1 couche d'enduit et 2 couches de finition acrylique satinée réf. M2</t>
  </si>
  <si>
    <t>Peinture extérieure sur murs avec 1 couche d'impression et 2 couches finition Pantex 1300</t>
  </si>
  <si>
    <t xml:space="preserve">Peinture intérieure sous plafonds avec 1 couche d'impression et 2 couches de finition acrylique satinée  </t>
  </si>
  <si>
    <t>Peinture sur ouvrages de menuiseries avec 1 couche d'impression et 2 couches de finition Pantinox SR9</t>
  </si>
  <si>
    <t xml:space="preserve">TOTAL Peinture                         </t>
  </si>
  <si>
    <t xml:space="preserve"> FAUX PLAFONDS BA 13                                </t>
  </si>
  <si>
    <t>F/P de revétement mural type BA 13 avec ossature métallique (sur mur salle d'opération)</t>
  </si>
  <si>
    <t>Sous total plafond en BA 13</t>
  </si>
  <si>
    <t>SOUS TOTAL FINITIONS</t>
  </si>
  <si>
    <t xml:space="preserve">MENUISERIE ( ref cahier de menuiserie) </t>
  </si>
  <si>
    <t>a) Aluminium (toutes les portes seront munies de serrure BRICARD ou similaire)</t>
  </si>
  <si>
    <t>b) ALUMINIUM (toutes les fenêtres seront miniers de serrure BRICARD ou similaire)</t>
  </si>
  <si>
    <t>Fenetres (ref cahier de menuiserie)</t>
  </si>
  <si>
    <t>dim: 60 x 60 (STOP SOL GRIS 100%)</t>
  </si>
  <si>
    <t>u</t>
  </si>
  <si>
    <t>dim: 120 x 120 (STOP SOL GRIS 100%)</t>
  </si>
  <si>
    <t>dim: 200 x 120 (STOP SOL GRIS 100%)</t>
  </si>
  <si>
    <t>Sous Total Fenêtres Alu</t>
  </si>
  <si>
    <t xml:space="preserve">Imposte vitrée et Guillotine en Alu </t>
  </si>
  <si>
    <t xml:space="preserve">Guillotine </t>
  </si>
  <si>
    <t>Menuiserie Métallique et Bois</t>
  </si>
  <si>
    <t>(toutes les portes seront miniers de serrure BRICARD ou similaire)</t>
  </si>
  <si>
    <t>Sous Total Porte métallique et bois</t>
  </si>
  <si>
    <t xml:space="preserve">Sous Total grille métallique </t>
  </si>
  <si>
    <t xml:space="preserve">TOTAL Menuiserie </t>
  </si>
  <si>
    <t>ELECTRICITE</t>
  </si>
  <si>
    <t xml:space="preserve">Forfait Installation électricité : Mise à la terre compléte et distribution secondaire y/c filerie </t>
  </si>
  <si>
    <t>FF</t>
  </si>
  <si>
    <t>a) Appareillages</t>
  </si>
  <si>
    <t>Coffrets électrique équipées y/c transformateur d isolement et toutes suggestions pour bloc opératoire</t>
  </si>
  <si>
    <t>Coffrets électrique équipées y/c batiments RDC</t>
  </si>
  <si>
    <t>Coffrets électrique équipées y/c batiments ETAGE</t>
  </si>
  <si>
    <t>CABLES, FILS ET FOURREAUX</t>
  </si>
  <si>
    <t>Chemin de cable, fourreaux et accessoires</t>
  </si>
  <si>
    <t>Câble U1000 R2V 3x2,5 mm² (luminaire)</t>
  </si>
  <si>
    <t>Câble U1000 R2V 3x2,5 mm² (Prises)</t>
  </si>
  <si>
    <t>Câble U1000 R2V 3x4 mm² (prises et splits)</t>
  </si>
  <si>
    <t>Câble U1000 R2V 3x120+70 mm² raccordement dpuis le TGBT</t>
  </si>
  <si>
    <t>Prise de terre complète en Cu 29mm² à fond de fouille y compris barrette, liaisons équipotentielles et colonnes de terre</t>
  </si>
  <si>
    <t>Réglette simple</t>
  </si>
  <si>
    <t xml:space="preserve">Réglette étanche LED </t>
  </si>
  <si>
    <t>F/P projecteur LED 85W</t>
  </si>
  <si>
    <t xml:space="preserve">Luminaire 60x60 etanche </t>
  </si>
  <si>
    <t>Luminaire 60x60 simple</t>
  </si>
  <si>
    <t>Prise courant 2P+T 16 A simple à encastrer</t>
  </si>
  <si>
    <t>Prise de courant normal 2P+T-16A étanche</t>
  </si>
  <si>
    <t>Prise de Télévision (TV)</t>
  </si>
  <si>
    <t>Prise RJ45</t>
  </si>
  <si>
    <t>Interrupteur double allumage</t>
  </si>
  <si>
    <t>Interrupteur simple allumage étanche</t>
  </si>
  <si>
    <t>Interrupteur simple allumage</t>
  </si>
  <si>
    <t xml:space="preserve">Bouton poussoir </t>
  </si>
  <si>
    <t>Poste de travail comportant:
- 1 prise de courant normal
- 2 prises de courant ondulée
- 2 prises (Informatique et téléphone) RJ45</t>
  </si>
  <si>
    <t xml:space="preserve">Combiné type dismatic </t>
  </si>
  <si>
    <t>Sous Total Appareillages</t>
  </si>
  <si>
    <t>SECURITE INCENDIE - MOYENS DE SECOURS</t>
  </si>
  <si>
    <t>F/P groupe éléctrogène 150KVA avec inverseur y/c abris de dim 5x4 avec toiture legere toutes sujétions de pose et raccordement éléctrique depuis TGBT</t>
  </si>
  <si>
    <t>F/P Onduleur 10 KVA en continu y/c toutes suggestions de pose suivant descriptif et schémas</t>
  </si>
  <si>
    <t>F/P de BAES"flèche ou sortie"</t>
  </si>
  <si>
    <t>F/P installation et essais de l'extincteur eau pulvérisée 6kg, selon pièces écrites, documents graphiques et toutes suggestions</t>
  </si>
  <si>
    <t>F/P installation et essais de l'extincteur CO2 5kg, selon pièces écrites, documents graphiques et toutes suggestions</t>
  </si>
  <si>
    <t>Détecteur optique de fumée de type adressable</t>
  </si>
  <si>
    <t>Indicateur d'action</t>
  </si>
  <si>
    <t>Déclencheur manuel type adressable</t>
  </si>
  <si>
    <t xml:space="preserve">Centrale de signalisation et d'alarme type Adressable </t>
  </si>
  <si>
    <t>Accessoire de pose et de raccordement des extincteurs</t>
  </si>
  <si>
    <t>F/P de diffuseur d'alarme général</t>
  </si>
  <si>
    <t>Raccordement et accessoires divers et mise en service d'alarme et centrale</t>
  </si>
  <si>
    <t>Ensemble câblerie et accessoires de raccordement pour la sécurité incendie</t>
  </si>
  <si>
    <t>PROTECTION CONTRE LA FOUDRE</t>
  </si>
  <si>
    <t>Equipement de protection contre la foudre au complet avec ses descentes et sa prise de terre spécifique</t>
  </si>
  <si>
    <t>Sous total Sécurité Incendie - Moyens de secours</t>
  </si>
  <si>
    <t>TELEPHONE - INFORMATIQUE</t>
  </si>
  <si>
    <t xml:space="preserve">Pré-cablâge Informatique câble FTP catégorie 6, Téléphone Bureau : Câble pour réseaux locaux, Cordon de brassage RJ45, Prise RJ45 (Rocade en cuivre entre baies informatique) detaille sur le nombre de prise voir lot electricité </t>
  </si>
  <si>
    <t>Ens FF</t>
  </si>
  <si>
    <t>Caméra extérieure  type IP dôme 180° fixe y/c Serveur enregistreur vidéo rackable (unité centrale vidéo-surveillance) avec 1 ordinateur écran 22 pouces</t>
  </si>
  <si>
    <t>Raccordement, accessoires divers et mise en service</t>
  </si>
  <si>
    <t>Sous total Téléphone-Informatique</t>
  </si>
  <si>
    <t>CLIMATISATIONS SYSTÈME SPLIT ET VENTILATION</t>
  </si>
  <si>
    <t xml:space="preserve">F/P Split type mural FTXS20K/RXS20L3 de marque DAIKIN ou similaire y/c raccordement électrique </t>
  </si>
  <si>
    <t xml:space="preserve">F/P de Brasseur d air y/c commande a trois vitesse y/c raccordement électrique </t>
  </si>
  <si>
    <t xml:space="preserve">Evacuation des condensats vers les collecteur d'eau pluviales ou eaux usées.Tous les accessoires de raccordement reste à la charge du lot climatisation </t>
  </si>
  <si>
    <t>Sous total Climatisation système split</t>
  </si>
  <si>
    <t xml:space="preserve">TOTAL Electricite </t>
  </si>
  <si>
    <t>PLOMBERIE SANITAIRE</t>
  </si>
  <si>
    <t>a) tuyauterie</t>
  </si>
  <si>
    <t xml:space="preserve">F/P de l'Installation des réseaux: alimentation et évacuation  en eau y/c toutes sujétions de poses  ( tuyauteries ,vannes de coupures ,tuyauterie galvanisé pour vidoir, raccordement sur le réseau existants…) y/c dépose sanitaires </t>
  </si>
  <si>
    <t>b) Accessoires plomberies</t>
  </si>
  <si>
    <t>F/P WC à l'anglaise y/c douchette</t>
  </si>
  <si>
    <t>F/P lavobo chirurgical</t>
  </si>
  <si>
    <t>F/P lavobo simple</t>
  </si>
  <si>
    <t>F/P receveur de douche en porcelaine +colonne type flexible en inox</t>
  </si>
  <si>
    <t>F/P de robinet de puisage</t>
  </si>
  <si>
    <t>F/P de siphon de sol n° 23</t>
  </si>
  <si>
    <t xml:space="preserve">F/P de nourrice equipee avec vanne d arret </t>
  </si>
  <si>
    <t>F/P d'evier en porcelaine y/c la robineterie en inox</t>
  </si>
  <si>
    <t>F/P Clapette anti retour</t>
  </si>
  <si>
    <t xml:space="preserve">Chauffe eau 50 litres </t>
  </si>
  <si>
    <t>Canalisation alimentation en PVC D32 suivant plans et descriptif</t>
  </si>
  <si>
    <t>Canalisation alimentation en PVC D40 suivant plans et descriptif</t>
  </si>
  <si>
    <t>Evacuation des condensats, fourniture de siphon et raccordement sur les descentes EP ou EU en coordination avec le lot plomberie</t>
  </si>
  <si>
    <t>Forfait</t>
  </si>
  <si>
    <t>Tuyauterie et pignon en PVC pour évacuation et descente eaux pluviales; Réseau d'évacuation d'EP  et sytéme de drainage des EP vers voirie et/ou excutoire y/c toutes sujétions</t>
  </si>
  <si>
    <t>Forfait pour construction Fosse Septique ( dim.: 300 x 500, en 3 compartiments) + tampon en fonte</t>
  </si>
  <si>
    <t xml:space="preserve"> Construction regards  de connection+tampon en fonte y/c toutes suggestion de racordement </t>
  </si>
  <si>
    <t>Tuyauterie pour Raccordement au réseau d'assainissement de la fosse septique</t>
  </si>
  <si>
    <t xml:space="preserve">TOTAL plomberie sanitaire </t>
  </si>
  <si>
    <t xml:space="preserve">TOTAL SECOND ŒUVRE </t>
  </si>
  <si>
    <t>SIGNALETIQUES ET PLAQUES SYNOPTIQUES DE PORTE</t>
  </si>
  <si>
    <t>PRIX UNIT</t>
  </si>
  <si>
    <t>Enseigne lumineuse Type SG8 ( 2,50 m x 80cm), suivant détail et  descriptif</t>
  </si>
  <si>
    <t>FLUIDES MEDICAUX ET CENTRALE FLUIDES</t>
  </si>
  <si>
    <t>CENTRALES DE FLUIDES MEDICAUX</t>
  </si>
  <si>
    <r>
      <t xml:space="preserve">Fourniture et pose d'une </t>
    </r>
    <r>
      <rPr>
        <b/>
        <sz val="10"/>
        <rFont val="Arial"/>
        <family val="2"/>
      </rPr>
      <t>centrale oxygène</t>
    </r>
    <r>
      <rPr>
        <sz val="10"/>
        <rFont val="Arial"/>
        <family val="2"/>
      </rPr>
      <t xml:space="preserve"> 2x4 bouteilles conforme aux normes en vigueur et comprenant une centrale de détente-inversion type DANUBE, principal DNP (double niveau de pression) 9 bars à 10 m3/h avec 01 ensemble VSP, 2 contacteurs HP, des flexibles HP, des râteliers et 2 vannes de purges + 1x4 bouteilles en secours</t>
    </r>
  </si>
  <si>
    <t xml:space="preserve">REGULATEUR </t>
  </si>
  <si>
    <t>Fourniture et pose de régulateur de 2ème détente pour OXYGENE de type simple DAMAO avec capot de protection</t>
  </si>
  <si>
    <t>Matériel de supervision de fonctionnement et d'urgence pour OXYGENE comprenant : (1 VIGGI 7 voies, 2 viggi 5 voies, 3 boitiers report, 2 capteurs analogiques 0-250 bars, 4 capteurs analogiques 0-16 bar y compris les conduits plastiques, câbles de liaison et d'alimentation et 1 disjoncteur modulaire)</t>
  </si>
  <si>
    <t>Fourniture et pose de régulateur de 2ème détente pour AIR 4 bars de type simple DAMAO avec capot de protection</t>
  </si>
  <si>
    <t>Matériel pour la signalisation pour AIR composé 5 capteurs analogiques 0-16 bar y compris les conduits plastiques, câbles de liaison et d'alimentation et 1 disjoncteur modulaire)</t>
  </si>
  <si>
    <t>Matériel pour la signalisation pour VIDE composé 3 capteurs analogique vide, 3 adaptateurspour capteur y compris les conduits plastique, câbles de liaison et d'alimentation et 1 disjoncteur modulaire)</t>
  </si>
  <si>
    <t>CANALISATIONS D'ALIMENTATION ET ACCESSOIRES</t>
  </si>
  <si>
    <t>PRISES MEDICALES</t>
  </si>
  <si>
    <t>Prise Médical BM OXYGENE complète avec étiquettes de signalisation sens intérieur et extérieur</t>
  </si>
  <si>
    <t>Prise Médical BM AIR complète avec étiquettes de signalisation sens intérieur et extérieur</t>
  </si>
  <si>
    <t>Prise Médical BM VIDE complète avec étiquettes de signalisation sens intérieur et extérieur</t>
  </si>
  <si>
    <t>AUTRES FLUIDES MEDICAUX</t>
  </si>
  <si>
    <t>Vanne BS raccord Braser avec coffret plombable</t>
  </si>
  <si>
    <t xml:space="preserve">TOTAL FLUIDE </t>
  </si>
  <si>
    <t>F/P de reservoirs 3000L Y/C 2 supprésseurs de 10mce  y compris raccordement l'Installation et sujétions de poses</t>
  </si>
  <si>
    <t>Tous les cadres des portes sont en husserie métallique</t>
  </si>
  <si>
    <t xml:space="preserve">Porte P1 en Bois pleine   (0,80m X 2,20m) avec plaque de protection en alu sur les deux faces </t>
  </si>
  <si>
    <t>Câble U1000 R2V 5x35 mm² ((RDC)</t>
  </si>
  <si>
    <t>Câble U1000 R2V 5x16 mm² (ETAGE)</t>
  </si>
  <si>
    <t>F/P 2 Split type mural FTXS20K/RXS20L3 de marque DAIKIN ou similaire y/c raccordement électrique 24000btu 3cv pour la salle d'opération</t>
  </si>
  <si>
    <t>Tube Cuivre qualité OXYGENE suivant plans et descriptif</t>
  </si>
  <si>
    <t>Tube Cuivre qualité AIR suivant plans et descriptif</t>
  </si>
  <si>
    <t>Tube Cuivre qualité vide  suivant plans et descriptif</t>
  </si>
  <si>
    <t>Plaque signalétique plaque de porte Type SG1 ( 25cm x 10cm), suivant détail et descriptif</t>
  </si>
  <si>
    <t xml:space="preserve">Porte P2 en Bois pleine   (0,90m X 2,20m) avec plaque de protection en alu sur les deux faces </t>
  </si>
  <si>
    <t>Panneau d'affichage signalétique Type SG6 ( 40 cm x 40cm), suivant détail et descriptif</t>
  </si>
  <si>
    <t>Béton armé 350 kg pour longrines,</t>
  </si>
  <si>
    <t>Planchers en  Hourdis (12+4, 16+4 et 20+5)</t>
  </si>
  <si>
    <t>Béton armé pour marches escalier y/c palier</t>
  </si>
  <si>
    <t xml:space="preserve">Béton armé pour rampe d'accès </t>
  </si>
  <si>
    <t>TOTAL GROS ŒUVRE RDC</t>
  </si>
  <si>
    <t>TOTAL Elevation ETAGE</t>
  </si>
  <si>
    <t>MACONNERIE EN ELEVATION ETAGE</t>
  </si>
  <si>
    <t>TOTAL Maconnerie ETAGE</t>
  </si>
  <si>
    <t xml:space="preserve"> ENDUIT ETAGE</t>
  </si>
  <si>
    <t>TOTAL Enduit ETAGE</t>
  </si>
  <si>
    <t>TOTAL GROS ŒUVRE ETAGE</t>
  </si>
  <si>
    <t xml:space="preserve"> BETON ARME EN ELEVATION RDC</t>
  </si>
  <si>
    <t>MACONNERIE EN ELEVATION RDC</t>
  </si>
  <si>
    <t xml:space="preserve"> ENDUIT RDC</t>
  </si>
  <si>
    <t>F/P de carreaux faïence 20 x 30 pour les toilettes autres salles</t>
  </si>
  <si>
    <t xml:space="preserve">F/P de révetement souple type PVC (gerflor ) salle d'opération, salle néonatologie </t>
  </si>
  <si>
    <t>dim: 100 x 120 (STOP SOL GRIS 100%)</t>
  </si>
  <si>
    <t xml:space="preserve">dim: 60x 60 (STOP SOL GRIS 100%) avec ferme imposte cable 2500mm2, poignéé Alu </t>
  </si>
  <si>
    <t>dim: 150 x 120 (FIXE CLAIR 100%)</t>
  </si>
  <si>
    <t xml:space="preserve">Panneau en alu </t>
  </si>
  <si>
    <t>Panneau en alu  (4mm d'épaisseur) (dim= 2,00x2,00) pour paravent (salles d'hospitalisation)</t>
  </si>
  <si>
    <t xml:space="preserve">Sous Total Panneau </t>
  </si>
  <si>
    <t xml:space="preserve">Porte P5 en Bois pleine double battantV-V (1,40m X 2,20m) avec Oculus et plaque de protection en alu sur les deux faces </t>
  </si>
  <si>
    <t>F/P Forme de pente et étancheité de type paraforsolo</t>
  </si>
  <si>
    <t xml:space="preserve">UNITE TECHNIQUE DE MAINTENANCE </t>
  </si>
  <si>
    <t xml:space="preserve">Démolition Maçonnerie </t>
  </si>
  <si>
    <t xml:space="preserve"> TOTAL  Démolition </t>
  </si>
  <si>
    <t>Planchers en  Hourdis (12+4)</t>
  </si>
  <si>
    <t xml:space="preserve">F/P de carreaux sol en grès cérame 60 x 60 (1er choix) </t>
  </si>
  <si>
    <t>Gobetis sur murs recevant faiences ,</t>
  </si>
  <si>
    <t>Béton de propreté dosé à  150 sous semelle et soubassement</t>
  </si>
  <si>
    <t>Maconnerie en agllos pleins  pour fondation 20x20x40</t>
  </si>
  <si>
    <t>Gobetis sur murs recevant faiences , salle d'operation ,salle de réveil, couloir ,Toilettes,banc , paillasse etc..</t>
  </si>
  <si>
    <t>Gobetis sur murs recevant faiences , Toilette ,banc , paillasse etc..</t>
  </si>
  <si>
    <t>F/P de faux plafond de type BA 13 5(lister les salles concernées)</t>
  </si>
  <si>
    <t>dim: 140 x 120 (STOP SOL GRIS 100%)</t>
  </si>
  <si>
    <t>dim: 250 x 120 (CLAIR  100%)</t>
  </si>
  <si>
    <t>dim: 295 x 120 (CLAIR  100%)</t>
  </si>
  <si>
    <t xml:space="preserve">dim: 140 x 60 (STOP SOL GRIS 100%) avec ferme imposte cable 2500mm2, poignéé Alu </t>
  </si>
  <si>
    <t xml:space="preserve">Porte P3 en Bois pleine (1,4m X 2,20m) avec oculus plaque de protection en alu sur les deux faces </t>
  </si>
  <si>
    <t>F/P de Grille dim.: 240 x 180 fluide médicaux</t>
  </si>
  <si>
    <t>F/P de Grille dim. Porte local fluides médicaux: 130 x 120</t>
  </si>
  <si>
    <t>dim: 100 x 220 (STOP SOL GRIS 100%)</t>
  </si>
  <si>
    <t xml:space="preserve">dim: 160x 120 Imposte avec gris métallique </t>
  </si>
  <si>
    <t>dim: 80 x 220 (STOP SOL GRIS 100%)</t>
  </si>
  <si>
    <t xml:space="preserve">Porte P2 en Bois pleine   (1,00m X 2,20m) double battant avec plaque de protection en alu sur les deux faces </t>
  </si>
  <si>
    <t xml:space="preserve">Porte P3 en Bois pleine (1,1m X 2,20m) avec plaque de protection en alu sur les deux faces </t>
  </si>
  <si>
    <t>Sous Total Porte  bois</t>
  </si>
  <si>
    <t xml:space="preserve">dim: 160 x 120 en Alu a l anglaise </t>
  </si>
  <si>
    <t xml:space="preserve">dim: 60 x 60 en Alu ouvrant a l anglaise </t>
  </si>
  <si>
    <t xml:space="preserve">Menuiserie metallique </t>
  </si>
  <si>
    <t>F/P de Grille dim.: 160 x 120</t>
  </si>
  <si>
    <t>F/P de Grille dim.: 60 x 60</t>
  </si>
  <si>
    <t xml:space="preserve">Coffrets électrique équipées </t>
  </si>
  <si>
    <t xml:space="preserve">dim: 160 x 120 Imposte avec gris métallique </t>
  </si>
  <si>
    <t>Menuiserie  Bois</t>
  </si>
  <si>
    <t xml:space="preserve">Porte P1 en Bois pleine   (0,90m X 2,20m) avec plaque de protection en alu sur les deux faces </t>
  </si>
  <si>
    <t xml:space="preserve">Menuiserie Métallique </t>
  </si>
  <si>
    <t xml:space="preserve">Porte P3 en metallique avec (1,40m X 2,20m) </t>
  </si>
  <si>
    <t xml:space="preserve"> fourreaux et accessoires</t>
  </si>
  <si>
    <t>m2</t>
  </si>
  <si>
    <t xml:space="preserve">SOUS TOTAL </t>
  </si>
  <si>
    <t>ESPACES VERTS ET PLANTATIONS</t>
  </si>
  <si>
    <t>Espaces verts Patio intérieurs et espaces verts extérieurs</t>
  </si>
  <si>
    <t>ff</t>
  </si>
  <si>
    <t>F et P  de gazon de type SENI et d'espèces florales,  et arbustres  identifiés et  sur jardin à l'intérieur des patios, les implants de massifs floraux portent sur 1/3 des surfaces extérieurs du centre de sante. L'espacements entre massifs floraux pris d'un quelconque point à un autre ne saurait dépasser 3m ou équivalent</t>
  </si>
  <si>
    <t>F et P  de Haie de type circus vert hauteur pieces 1,00 m espacement entre pied 1,00 m y/c traitement terreau sur mur de cloture ( Nord Est - Est Sud)</t>
  </si>
  <si>
    <t>Entretien de l'aménagement extérieur pour une durée de 03 mois après réception provisoir</t>
  </si>
  <si>
    <t>VOIRIES, PARKING ET ALLEES PIETONNES, PEINTURE</t>
  </si>
  <si>
    <t>Peinture extérirur sur l'ensemble des autres batiments du centre de santé</t>
  </si>
  <si>
    <t>REVISION GENERAL ELECTRICITE ET PLOMBERIE</t>
  </si>
  <si>
    <t>Révision du circuit Electrique du centre</t>
  </si>
  <si>
    <t xml:space="preserve">Voiries intérieures et parking en béton armé ép 25cm  y/c épaulement bordures largeur 60 cm  et bordures de trottoir et toutes sujétions de pose et marquage y/c stations abrites de vehicules;pavage autoblocant des cours </t>
  </si>
  <si>
    <t>F/P de carreaux faïence 20 x 30 (1er choix) pour les toilettes autres salles</t>
  </si>
  <si>
    <t>Amener et replis matériel</t>
  </si>
  <si>
    <t>Révision général de la plomberie du centre de santé</t>
  </si>
  <si>
    <t xml:space="preserve">Etudes et visa, plan BA et lots techniques y/c toutes sujétions plans de recollement </t>
  </si>
  <si>
    <t>Démolitions plus évacuation à la décharge publique (deux salles d'hospitalisation et autres murs)</t>
  </si>
  <si>
    <t>BETON ARME EN ELEVATION RDC</t>
  </si>
  <si>
    <t>Béton arme dallage epaisseur 13 cm (HA12 esp 15)</t>
  </si>
  <si>
    <t xml:space="preserve">Installation et clôture de chantier </t>
  </si>
  <si>
    <t>INSTALLATION, clôture de chantier, ETUDES ET SUIVI</t>
  </si>
  <si>
    <t xml:space="preserve">Remblais sous dallage et compactage hydrolique  par apport de terre en sable de dune </t>
  </si>
  <si>
    <t xml:space="preserve"> BETON ARME EN ELEVATION ETAGE</t>
  </si>
  <si>
    <t xml:space="preserve">Beton armé pour paillasse </t>
  </si>
  <si>
    <t>Planchers en Hourdis (12+4, 16+4 et 20+5)</t>
  </si>
  <si>
    <t xml:space="preserve">Poteaux en béton armé </t>
  </si>
  <si>
    <t>Prix unitaire</t>
  </si>
  <si>
    <t>Prix total</t>
  </si>
  <si>
    <t>Quantité</t>
  </si>
  <si>
    <t>Appareillages</t>
  </si>
  <si>
    <t>Sous Total Installation électricité</t>
  </si>
  <si>
    <r>
      <t xml:space="preserve">Fourniture et pose d'une </t>
    </r>
    <r>
      <rPr>
        <b/>
        <sz val="10"/>
        <rFont val="Arial"/>
        <family val="2"/>
      </rPr>
      <t>centrale d'AIR</t>
    </r>
    <r>
      <rPr>
        <sz val="10"/>
        <rFont val="Arial"/>
        <family val="2"/>
      </rPr>
      <t xml:space="preserve"> type AIRMIL'S 2-13K1 de 2x13 m3/h 50Hz 2x1,7kW pression de sortie 10 bars  composé de deux compresseurs avec une chaine de traitement type SEC7 HC filtration et sechage par absorption, d'un coffret de régulation, d'une ligne de détente, d'un reservoir de 500 litres et de mise en sécurité générale  </t>
    </r>
    <r>
      <rPr>
        <sz val="10"/>
        <color theme="1"/>
        <rFont val="Arial"/>
        <family val="2"/>
      </rPr>
      <t>y compris toutes sujétions de pose suivant  plans, schema  et descriptif.</t>
    </r>
  </si>
  <si>
    <r>
      <t xml:space="preserve">Fourniture et pose d'une </t>
    </r>
    <r>
      <rPr>
        <b/>
        <sz val="10"/>
        <rFont val="Arial"/>
        <family val="2"/>
      </rPr>
      <t>centrale VIDE</t>
    </r>
    <r>
      <rPr>
        <sz val="10"/>
        <rFont val="Arial"/>
        <family val="2"/>
      </rPr>
      <t xml:space="preserve"> type HOSPIVAC de 3x30 m3/h régulation entre -850 et 650 mbar et de mise en sécurité générale avec des pompes de debit unitaire 30 m3/h avec un ballon tampon de 300 litres y compris toutes sujétions de pose suivant  plans, schema  et descriptif.</t>
    </r>
  </si>
  <si>
    <t>ENDUIT RDC</t>
  </si>
  <si>
    <t>TOTAL Installation, études et suivi</t>
  </si>
  <si>
    <t>GROS ŒUVRE</t>
  </si>
  <si>
    <t>Obs 1: Il s'agit des finitions des maconneries existantes sur l'emprise nette du présent batiment (y/c ses circulations et/ou SAS intérieures ).</t>
  </si>
  <si>
    <t>a) Tuyauterie</t>
  </si>
  <si>
    <t>Sous Total Impostes vitrée et Guillotine en alu</t>
  </si>
  <si>
    <t>TOTAL SECOND ŒUVRE RDC</t>
  </si>
  <si>
    <t>Total général Travaux bâtiment R+1 (bloc opératoire, néonatologie et hospitalisations)</t>
  </si>
  <si>
    <t xml:space="preserve">Démolitions, dépose plus évacuation à la décharge publique (enclos et cloisons) </t>
  </si>
  <si>
    <t xml:space="preserve"> TOTAL Démolition </t>
  </si>
  <si>
    <t>Démolitions, dépose plus évacuation à la décharge publique (enclos et cloisons) environ 68 m2</t>
  </si>
  <si>
    <t>Obs 1:Il s'agit des finitions des maconneries existantes sur l'emprise nette du présent batiment (y/c ses circulations et/ou SAS intérieures ).</t>
  </si>
  <si>
    <t xml:space="preserve">BUANDERIE, LOCAUX FLUIDES MEDICAUX ET DECHETS </t>
  </si>
  <si>
    <t>Total général Travaux Unité Technique de Maintenance</t>
  </si>
  <si>
    <t>F/P installation et essais de l'extincteur eau pulvérisée 6kg, selon pièces écrites, documents graphiques et toutes sujétions</t>
  </si>
  <si>
    <t>F/P installation et essais de l'extincteur CO2 5kg, selon pièces écrites, documents graphiques et toutes sujétions</t>
  </si>
  <si>
    <t xml:space="preserve">F/P évier en porcelaine + accessoires &amp; toutes sujétions </t>
  </si>
  <si>
    <t xml:space="preserve">F/P de nourrice equipee avec vanne d'arrêt </t>
  </si>
  <si>
    <t xml:space="preserve">F/P de carreaux sol en grès cérame 30 x 30 (1er choix) antidérapant pour toilettes </t>
  </si>
  <si>
    <t>F/P de BAES "flèche ou sortie"</t>
  </si>
  <si>
    <t>Total général Travaux Buanderie, locaux fluides &amp; déchets</t>
  </si>
  <si>
    <t>BATIMENT R+1 POUR LE BLOC OPERATOIRE, LA NEONATOLOGIE ET HOSPITALISATIONS</t>
  </si>
  <si>
    <t>Total général Travaux Aménagements et Divers</t>
  </si>
  <si>
    <t>Désignation</t>
  </si>
  <si>
    <t>Aménagements extérieurs et divers</t>
  </si>
  <si>
    <t>AMENAGEMENTS EXTERIEURS ET DIVERS</t>
  </si>
  <si>
    <t>TVA</t>
  </si>
  <si>
    <t>Montant total FCFA</t>
  </si>
  <si>
    <t>Tranches</t>
  </si>
  <si>
    <t>Fermes</t>
  </si>
  <si>
    <t>Conditionnelles</t>
  </si>
  <si>
    <t>Bâtiment R+1 pour le bloc opératoire, la néonatologie et hospitalisations</t>
  </si>
  <si>
    <t xml:space="preserve">Buanderie, locaux fluides médicaux et déchets </t>
  </si>
  <si>
    <t xml:space="preserve">Unité Technique de Maintenance </t>
  </si>
  <si>
    <t xml:space="preserve"> Total général tranches fermes conditionnelles TTC</t>
  </si>
  <si>
    <t xml:space="preserve"> Total général tranches fermes + conditionnelles HTVA</t>
  </si>
  <si>
    <t xml:space="preserve"> Total général tranches conditionnelles TTC</t>
  </si>
  <si>
    <t xml:space="preserve"> Total général tranches conditionnelles HTVA</t>
  </si>
  <si>
    <t xml:space="preserve"> Total général tranches fermes TTC</t>
  </si>
  <si>
    <t xml:space="preserve"> Total général tranches fermes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</si>
</sst>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0" x14ac:knownFonts="1">
    <font>
      <sz val="11"/>
      <color theme="1"/>
      <name val="Calibri"/>
      <family val="2"/>
      <scheme val="minor"/>
    </font>
    <font>
      <sz val="8"/>
      <name val="Calibri"/>
      <family val="2"/>
      <scheme val="minor"/>
    </font>
    <font>
      <sz val="10"/>
      <name val="Arial"/>
      <family val="2"/>
    </font>
    <font>
      <b/>
      <u/>
      <sz val="10"/>
      <name val="Arial"/>
      <family val="2"/>
    </font>
    <font>
      <b/>
      <sz val="10"/>
      <name val="Arial"/>
      <family val="2"/>
    </font>
    <font>
      <sz val="11"/>
      <color theme="1"/>
      <name val="Calibri"/>
      <family val="2"/>
      <scheme val="minor"/>
    </font>
    <font>
      <sz val="10"/>
      <color theme="1"/>
      <name val="Arial"/>
      <family val="2"/>
    </font>
    <font>
      <sz val="10"/>
      <color rgb="FFFFFF00"/>
      <name val="Arial"/>
      <family val="2"/>
    </font>
    <font>
      <sz val="10"/>
      <color rgb="FFFF0000"/>
      <name val="Arial"/>
      <family val="2"/>
    </font>
    <font>
      <b/>
      <sz val="10"/>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5" tint="0.39997558519241921"/>
        <bgColor indexed="64"/>
      </patternFill>
    </fill>
  </fills>
  <borders count="3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3">
    <xf numFmtId="0" fontId="0" fillId="0" borderId="0"/>
    <xf numFmtId="164" fontId="2" fillId="0" borderId="0" applyFont="0" applyFill="0" applyBorder="0" applyAlignment="0" applyProtection="0"/>
    <xf numFmtId="164" fontId="5" fillId="0" borderId="0" applyFont="0" applyFill="0" applyBorder="0" applyAlignment="0" applyProtection="0"/>
  </cellStyleXfs>
  <cellXfs count="143">
    <xf numFmtId="0" fontId="0" fillId="0" borderId="0" xfId="0"/>
    <xf numFmtId="0" fontId="6" fillId="0" borderId="0" xfId="0" applyFont="1"/>
    <xf numFmtId="0" fontId="4" fillId="0" borderId="7" xfId="0" applyFont="1" applyBorder="1" applyAlignment="1">
      <alignment vertical="center" wrapText="1"/>
    </xf>
    <xf numFmtId="0" fontId="4"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3" fontId="2" fillId="0" borderId="7" xfId="0" applyNumberFormat="1" applyFont="1" applyBorder="1" applyAlignment="1">
      <alignment vertical="center" wrapText="1"/>
    </xf>
    <xf numFmtId="3" fontId="2" fillId="0" borderId="7" xfId="0" applyNumberFormat="1" applyFont="1" applyBorder="1" applyAlignment="1">
      <alignment horizontal="center" vertical="center" wrapText="1"/>
    </xf>
    <xf numFmtId="164" fontId="2" fillId="0" borderId="7" xfId="2" applyFont="1" applyBorder="1" applyAlignment="1">
      <alignment horizontal="center" vertical="center" wrapText="1"/>
    </xf>
    <xf numFmtId="3" fontId="2" fillId="3" borderId="7" xfId="0" applyNumberFormat="1" applyFont="1" applyFill="1" applyBorder="1" applyAlignment="1">
      <alignment vertical="center" wrapText="1"/>
    </xf>
    <xf numFmtId="3" fontId="2" fillId="3" borderId="7" xfId="0" applyNumberFormat="1" applyFont="1" applyFill="1" applyBorder="1" applyAlignment="1">
      <alignment horizontal="center" vertical="center" wrapText="1"/>
    </xf>
    <xf numFmtId="164" fontId="2" fillId="3" borderId="7" xfId="2" applyFont="1" applyFill="1" applyBorder="1" applyAlignment="1">
      <alignment horizontal="center" vertical="center" wrapText="1"/>
    </xf>
    <xf numFmtId="164" fontId="6" fillId="0" borderId="7" xfId="2" applyFont="1" applyBorder="1" applyAlignment="1">
      <alignment horizontal="center" vertical="center" wrapText="1"/>
    </xf>
    <xf numFmtId="3" fontId="4" fillId="7" borderId="7" xfId="0" applyNumberFormat="1" applyFont="1" applyFill="1" applyBorder="1" applyAlignment="1">
      <alignment horizontal="center" vertical="center" wrapText="1"/>
    </xf>
    <xf numFmtId="0" fontId="7" fillId="0" borderId="0" xfId="0" applyFont="1"/>
    <xf numFmtId="3" fontId="4" fillId="5" borderId="7" xfId="0" applyNumberFormat="1" applyFont="1" applyFill="1" applyBorder="1" applyAlignment="1">
      <alignment horizontal="center" vertical="center" wrapText="1"/>
    </xf>
    <xf numFmtId="0" fontId="8" fillId="0" borderId="0" xfId="0" applyFont="1"/>
    <xf numFmtId="3" fontId="2" fillId="3" borderId="7" xfId="0" applyNumberFormat="1" applyFont="1" applyFill="1" applyBorder="1" applyAlignment="1">
      <alignment horizontal="left" vertical="center" wrapText="1"/>
    </xf>
    <xf numFmtId="164" fontId="2" fillId="3" borderId="7" xfId="2" applyFont="1" applyFill="1" applyBorder="1" applyAlignment="1">
      <alignment vertical="center" wrapText="1"/>
    </xf>
    <xf numFmtId="0" fontId="2" fillId="0" borderId="0" xfId="0" applyFont="1" applyAlignment="1">
      <alignment vertical="center" wrapText="1"/>
    </xf>
    <xf numFmtId="164" fontId="2" fillId="3" borderId="11" xfId="2" applyFont="1" applyFill="1" applyBorder="1" applyAlignment="1">
      <alignment horizontal="center" vertical="center" wrapText="1"/>
    </xf>
    <xf numFmtId="3" fontId="2" fillId="3" borderId="11" xfId="0" applyNumberFormat="1" applyFont="1" applyFill="1" applyBorder="1" applyAlignment="1">
      <alignment horizontal="center" vertical="center" wrapText="1"/>
    </xf>
    <xf numFmtId="0" fontId="8" fillId="0" borderId="0" xfId="0" applyFont="1" applyAlignment="1">
      <alignment vertical="center" wrapText="1"/>
    </xf>
    <xf numFmtId="0" fontId="4" fillId="3" borderId="9" xfId="0" applyFont="1" applyFill="1" applyBorder="1" applyAlignment="1">
      <alignment horizontal="left" vertical="center" wrapText="1"/>
    </xf>
    <xf numFmtId="164" fontId="4" fillId="3" borderId="4" xfId="2" applyFont="1" applyFill="1" applyBorder="1" applyAlignment="1">
      <alignment horizontal="left" vertical="center" wrapText="1"/>
    </xf>
    <xf numFmtId="0" fontId="4" fillId="3" borderId="6" xfId="0" applyFont="1" applyFill="1" applyBorder="1" applyAlignment="1">
      <alignment horizontal="left" vertical="center" wrapText="1"/>
    </xf>
    <xf numFmtId="4" fontId="2" fillId="3" borderId="7" xfId="0" applyNumberFormat="1" applyFont="1" applyFill="1" applyBorder="1" applyAlignment="1">
      <alignment horizontal="left" vertical="center" wrapText="1"/>
    </xf>
    <xf numFmtId="4" fontId="2" fillId="3" borderId="7" xfId="0" applyNumberFormat="1" applyFont="1" applyFill="1" applyBorder="1" applyAlignment="1">
      <alignment horizontal="center" vertical="center" wrapText="1"/>
    </xf>
    <xf numFmtId="4" fontId="2" fillId="3" borderId="11" xfId="0" applyNumberFormat="1" applyFont="1" applyFill="1" applyBorder="1" applyAlignment="1">
      <alignment horizontal="left" vertical="center" wrapText="1"/>
    </xf>
    <xf numFmtId="4" fontId="2" fillId="3" borderId="11"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165" fontId="9" fillId="6" borderId="7" xfId="2" applyNumberFormat="1" applyFont="1" applyFill="1" applyBorder="1"/>
    <xf numFmtId="164" fontId="6" fillId="0" borderId="0" xfId="2" applyFont="1"/>
    <xf numFmtId="3" fontId="4" fillId="7" borderId="7" xfId="0" applyNumberFormat="1" applyFont="1" applyFill="1" applyBorder="1" applyAlignment="1">
      <alignment vertical="center" wrapText="1"/>
    </xf>
    <xf numFmtId="3" fontId="2" fillId="7" borderId="7" xfId="0" applyNumberFormat="1" applyFont="1" applyFill="1" applyBorder="1" applyAlignment="1">
      <alignment horizontal="center" vertical="center" wrapText="1"/>
    </xf>
    <xf numFmtId="164" fontId="2" fillId="7" borderId="7" xfId="2" applyFont="1" applyFill="1" applyBorder="1" applyAlignment="1">
      <alignment horizontal="center" vertical="center" wrapText="1"/>
    </xf>
    <xf numFmtId="0" fontId="6" fillId="0" borderId="0" xfId="0" applyFont="1" applyAlignment="1">
      <alignment horizontal="center"/>
    </xf>
    <xf numFmtId="0" fontId="4" fillId="3" borderId="5" xfId="0" applyFont="1" applyFill="1" applyBorder="1" applyAlignment="1">
      <alignment horizontal="center" vertical="center" wrapText="1"/>
    </xf>
    <xf numFmtId="3" fontId="4" fillId="3" borderId="7" xfId="0" applyNumberFormat="1" applyFont="1" applyFill="1" applyBorder="1" applyAlignment="1">
      <alignment vertical="center" wrapText="1"/>
    </xf>
    <xf numFmtId="0" fontId="6" fillId="0" borderId="8" xfId="0" applyFont="1" applyBorder="1"/>
    <xf numFmtId="164" fontId="6" fillId="0" borderId="0" xfId="2" applyFont="1" applyBorder="1"/>
    <xf numFmtId="0" fontId="6" fillId="0" borderId="13" xfId="0" applyFont="1" applyBorder="1"/>
    <xf numFmtId="164" fontId="4" fillId="0" borderId="7" xfId="2" applyFont="1" applyBorder="1" applyAlignment="1">
      <alignment horizontal="center" vertical="center" wrapText="1"/>
    </xf>
    <xf numFmtId="3" fontId="9" fillId="0" borderId="7" xfId="0" applyNumberFormat="1" applyFont="1" applyBorder="1" applyAlignment="1">
      <alignment horizontal="center" vertical="center" wrapText="1"/>
    </xf>
    <xf numFmtId="0" fontId="9" fillId="0" borderId="0" xfId="0" applyFont="1"/>
    <xf numFmtId="3" fontId="4" fillId="6" borderId="7" xfId="0" applyNumberFormat="1" applyFont="1" applyFill="1" applyBorder="1" applyAlignment="1">
      <alignment vertical="center" wrapText="1"/>
    </xf>
    <xf numFmtId="3" fontId="4" fillId="6" borderId="7" xfId="0" applyNumberFormat="1" applyFont="1" applyFill="1" applyBorder="1" applyAlignment="1">
      <alignment horizontal="center" vertical="center" wrapText="1"/>
    </xf>
    <xf numFmtId="164" fontId="4" fillId="6" borderId="7" xfId="2" applyFont="1" applyFill="1" applyBorder="1" applyAlignment="1">
      <alignment horizontal="center" vertical="center" wrapText="1"/>
    </xf>
    <xf numFmtId="165" fontId="9" fillId="6" borderId="7" xfId="2" applyNumberFormat="1" applyFont="1" applyFill="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3" fontId="2" fillId="0" borderId="9" xfId="0" applyNumberFormat="1" applyFont="1" applyBorder="1" applyAlignment="1">
      <alignment vertical="center"/>
    </xf>
    <xf numFmtId="3" fontId="2" fillId="0" borderId="14" xfId="0" applyNumberFormat="1" applyFont="1" applyBorder="1" applyAlignment="1">
      <alignment vertical="center"/>
    </xf>
    <xf numFmtId="3" fontId="6" fillId="0" borderId="15" xfId="0" applyNumberFormat="1" applyFont="1" applyBorder="1" applyAlignment="1">
      <alignment horizontal="center" vertical="center"/>
    </xf>
    <xf numFmtId="3" fontId="2" fillId="0" borderId="16" xfId="0" applyNumberFormat="1" applyFont="1" applyBorder="1" applyAlignment="1">
      <alignment vertical="center"/>
    </xf>
    <xf numFmtId="3" fontId="6" fillId="0" borderId="17" xfId="0" applyNumberFormat="1" applyFont="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3" fontId="2" fillId="0" borderId="14" xfId="0" applyNumberFormat="1" applyFont="1" applyBorder="1" applyAlignment="1">
      <alignment vertical="center" wrapText="1" shrinkToFit="1"/>
    </xf>
    <xf numFmtId="3" fontId="6" fillId="0" borderId="24"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4" fillId="0" borderId="5" xfId="0" applyNumberFormat="1" applyFont="1" applyBorder="1" applyAlignment="1">
      <alignment horizontal="left" vertical="center" wrapText="1"/>
    </xf>
    <xf numFmtId="3" fontId="4" fillId="0" borderId="4" xfId="0" applyNumberFormat="1" applyFont="1" applyBorder="1" applyAlignment="1">
      <alignment horizontal="left" vertical="center" wrapText="1"/>
    </xf>
    <xf numFmtId="3" fontId="4" fillId="0" borderId="6" xfId="0" applyNumberFormat="1" applyFont="1" applyBorder="1" applyAlignment="1">
      <alignment horizontal="left" vertical="center" wrapText="1"/>
    </xf>
    <xf numFmtId="3" fontId="4" fillId="5" borderId="5"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5" borderId="6"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0" fontId="3" fillId="3" borderId="8" xfId="0" applyFont="1" applyFill="1" applyBorder="1" applyAlignment="1">
      <alignment horizontal="left" vertical="top" wrapText="1"/>
    </xf>
    <xf numFmtId="0" fontId="3" fillId="3" borderId="0" xfId="0" applyFont="1" applyFill="1" applyAlignment="1">
      <alignment horizontal="left" vertical="top" wrapText="1"/>
    </xf>
    <xf numFmtId="3" fontId="4" fillId="4" borderId="5" xfId="0" applyNumberFormat="1" applyFont="1" applyFill="1" applyBorder="1" applyAlignment="1">
      <alignment horizontal="left" vertical="center" wrapText="1"/>
    </xf>
    <xf numFmtId="3" fontId="4" fillId="4" borderId="4" xfId="0" applyNumberFormat="1" applyFont="1" applyFill="1" applyBorder="1" applyAlignment="1">
      <alignment horizontal="left" vertical="center" wrapText="1"/>
    </xf>
    <xf numFmtId="3" fontId="4" fillId="4" borderId="6" xfId="0" applyNumberFormat="1" applyFont="1" applyFill="1" applyBorder="1" applyAlignment="1">
      <alignment horizontal="left" vertical="center" wrapText="1"/>
    </xf>
    <xf numFmtId="164" fontId="2" fillId="3" borderId="9" xfId="2" applyFont="1" applyFill="1" applyBorder="1" applyAlignment="1">
      <alignment horizontal="center" vertical="center" wrapText="1"/>
    </xf>
    <xf numFmtId="164" fontId="2" fillId="3" borderId="10" xfId="2"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3" fontId="4" fillId="7" borderId="5" xfId="0" applyNumberFormat="1" applyFont="1" applyFill="1" applyBorder="1" applyAlignment="1">
      <alignment horizontal="left" vertical="center" wrapText="1"/>
    </xf>
    <xf numFmtId="3" fontId="4" fillId="7" borderId="4" xfId="0" applyNumberFormat="1" applyFont="1" applyFill="1" applyBorder="1" applyAlignment="1">
      <alignment horizontal="left" vertical="center" wrapText="1"/>
    </xf>
    <xf numFmtId="3" fontId="4" fillId="7" borderId="6" xfId="0" applyNumberFormat="1" applyFont="1" applyFill="1" applyBorder="1" applyAlignment="1">
      <alignment horizontal="left"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164" fontId="2" fillId="0" borderId="9" xfId="2" applyFont="1" applyBorder="1" applyAlignment="1">
      <alignment horizontal="center" vertical="center" wrapText="1"/>
    </xf>
    <xf numFmtId="164" fontId="2" fillId="0" borderId="10" xfId="2" applyFont="1" applyBorder="1" applyAlignment="1">
      <alignment horizontal="center" vertical="center" wrapText="1"/>
    </xf>
    <xf numFmtId="164" fontId="2" fillId="0" borderId="11" xfId="2" applyFont="1" applyBorder="1" applyAlignment="1">
      <alignment horizontal="center" vertical="center" wrapText="1"/>
    </xf>
    <xf numFmtId="3" fontId="2" fillId="0" borderId="7" xfId="0" applyNumberFormat="1" applyFont="1" applyBorder="1" applyAlignment="1">
      <alignment horizontal="center" vertical="center" wrapText="1"/>
    </xf>
    <xf numFmtId="3" fontId="4" fillId="3" borderId="5"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4" fillId="3" borderId="6" xfId="0" applyNumberFormat="1" applyFont="1" applyFill="1" applyBorder="1" applyAlignment="1">
      <alignment horizontal="left" vertical="center" wrapText="1"/>
    </xf>
    <xf numFmtId="3" fontId="4" fillId="0" borderId="5"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4" fillId="5" borderId="5" xfId="0" applyNumberFormat="1" applyFont="1" applyFill="1" applyBorder="1" applyAlignment="1">
      <alignment horizontal="left" vertical="center" wrapText="1"/>
    </xf>
    <xf numFmtId="3" fontId="4" fillId="5" borderId="4" xfId="0" applyNumberFormat="1" applyFont="1" applyFill="1" applyBorder="1" applyAlignment="1">
      <alignment horizontal="left" vertical="center" wrapText="1"/>
    </xf>
    <xf numFmtId="3" fontId="4" fillId="5" borderId="6" xfId="0" applyNumberFormat="1"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4" fillId="7" borderId="5" xfId="0" applyNumberFormat="1" applyFont="1" applyFill="1" applyBorder="1" applyAlignment="1">
      <alignment horizontal="center" vertical="center" wrapText="1"/>
    </xf>
    <xf numFmtId="3" fontId="4" fillId="7" borderId="4" xfId="0" applyNumberFormat="1" applyFont="1" applyFill="1" applyBorder="1" applyAlignment="1">
      <alignment horizontal="center" vertical="center" wrapText="1"/>
    </xf>
    <xf numFmtId="3" fontId="4" fillId="7"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3" fontId="4" fillId="6" borderId="5" xfId="0" applyNumberFormat="1" applyFont="1" applyFill="1" applyBorder="1" applyAlignment="1">
      <alignment vertical="center" wrapText="1"/>
    </xf>
    <xf numFmtId="3" fontId="4" fillId="6" borderId="4" xfId="0" applyNumberFormat="1" applyFont="1" applyFill="1" applyBorder="1" applyAlignment="1">
      <alignment vertical="center" wrapText="1"/>
    </xf>
    <xf numFmtId="3" fontId="4" fillId="6" borderId="6" xfId="0" applyNumberFormat="1" applyFont="1" applyFill="1" applyBorder="1" applyAlignment="1">
      <alignment vertical="center" wrapText="1"/>
    </xf>
    <xf numFmtId="0" fontId="4" fillId="6" borderId="7" xfId="0" applyFont="1" applyFill="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3" fontId="2" fillId="0" borderId="18" xfId="0" applyNumberFormat="1" applyFont="1" applyBorder="1" applyAlignment="1">
      <alignment horizontal="center" vertical="center" wrapText="1" shrinkToFit="1"/>
    </xf>
    <xf numFmtId="3" fontId="2" fillId="0" borderId="23" xfId="0" applyNumberFormat="1" applyFont="1" applyBorder="1" applyAlignment="1">
      <alignment horizontal="center" vertical="center" wrapText="1" shrinkToFit="1"/>
    </xf>
    <xf numFmtId="3" fontId="2" fillId="0" borderId="18"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7" xfId="0" applyNumberFormat="1" applyFont="1" applyFill="1" applyBorder="1" applyAlignment="1">
      <alignment vertical="center" wrapText="1"/>
    </xf>
    <xf numFmtId="164" fontId="2" fillId="9" borderId="7" xfId="2" applyFont="1" applyFill="1" applyBorder="1" applyAlignment="1">
      <alignment horizontal="center" vertical="center" wrapText="1"/>
    </xf>
  </cellXfs>
  <cellStyles count="3">
    <cellStyle name="Milliers" xfId="2" builtinId="3"/>
    <cellStyle name="Millier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246"/>
  <sheetViews>
    <sheetView topLeftCell="A226" zoomScale="70" zoomScaleNormal="70" workbookViewId="0">
      <selection activeCell="D241" sqref="D241"/>
    </sheetView>
  </sheetViews>
  <sheetFormatPr baseColWidth="10" defaultRowHeight="12.5" x14ac:dyDescent="0.25"/>
  <cols>
    <col min="1" max="1" width="56.7265625" style="1" customWidth="1"/>
    <col min="2" max="2" width="4.81640625" style="35" customWidth="1"/>
    <col min="3" max="3" width="10.08984375" style="31" bestFit="1" customWidth="1"/>
    <col min="4" max="4" width="13.6328125" style="1" customWidth="1"/>
    <col min="5" max="5" width="14.1796875" style="1" customWidth="1"/>
    <col min="6" max="16384" width="10.90625" style="1"/>
  </cols>
  <sheetData>
    <row r="1" spans="1:5" ht="13" customHeight="1" x14ac:dyDescent="0.25">
      <c r="A1" s="107" t="s">
        <v>309</v>
      </c>
      <c r="B1" s="108"/>
      <c r="C1" s="108"/>
      <c r="D1" s="108"/>
      <c r="E1" s="109"/>
    </row>
    <row r="2" spans="1:5" ht="13" x14ac:dyDescent="0.25">
      <c r="A2" s="99"/>
      <c r="B2" s="99"/>
      <c r="C2" s="99"/>
      <c r="D2" s="99"/>
      <c r="E2" s="99"/>
    </row>
    <row r="3" spans="1:5" ht="13" x14ac:dyDescent="0.25">
      <c r="A3" s="2" t="s">
        <v>0</v>
      </c>
      <c r="B3" s="3" t="s">
        <v>1</v>
      </c>
      <c r="C3" s="3" t="s">
        <v>283</v>
      </c>
      <c r="D3" s="3" t="s">
        <v>281</v>
      </c>
      <c r="E3" s="4" t="s">
        <v>282</v>
      </c>
    </row>
    <row r="4" spans="1:5" x14ac:dyDescent="0.25">
      <c r="B4" s="1"/>
      <c r="C4" s="1"/>
    </row>
    <row r="5" spans="1:5" ht="13" x14ac:dyDescent="0.25">
      <c r="A5" s="69" t="s">
        <v>275</v>
      </c>
      <c r="B5" s="70"/>
      <c r="C5" s="70"/>
      <c r="D5" s="70"/>
      <c r="E5" s="71"/>
    </row>
    <row r="6" spans="1:5" x14ac:dyDescent="0.25">
      <c r="A6" s="5" t="s">
        <v>274</v>
      </c>
      <c r="B6" s="6" t="s">
        <v>5</v>
      </c>
      <c r="C6" s="7">
        <v>1</v>
      </c>
      <c r="D6" s="6"/>
      <c r="E6" s="6">
        <f>D6*C6</f>
        <v>0</v>
      </c>
    </row>
    <row r="7" spans="1:5" ht="25" x14ac:dyDescent="0.25">
      <c r="A7" s="8" t="s">
        <v>270</v>
      </c>
      <c r="B7" s="9" t="s">
        <v>5</v>
      </c>
      <c r="C7" s="10">
        <v>1</v>
      </c>
      <c r="D7" s="9"/>
      <c r="E7" s="9">
        <f>C7*D7</f>
        <v>0</v>
      </c>
    </row>
    <row r="8" spans="1:5" ht="25" x14ac:dyDescent="0.25">
      <c r="A8" s="8" t="s">
        <v>271</v>
      </c>
      <c r="B8" s="9" t="s">
        <v>6</v>
      </c>
      <c r="C8" s="10">
        <v>1</v>
      </c>
      <c r="D8" s="9"/>
      <c r="E8" s="9">
        <f>D8*C8</f>
        <v>0</v>
      </c>
    </row>
    <row r="9" spans="1:5" ht="13" x14ac:dyDescent="0.25">
      <c r="A9" s="104" t="s">
        <v>289</v>
      </c>
      <c r="B9" s="105"/>
      <c r="C9" s="105"/>
      <c r="D9" s="106"/>
      <c r="E9" s="14">
        <f>SUM(E6:E8)</f>
        <v>0</v>
      </c>
    </row>
    <row r="10" spans="1:5" x14ac:dyDescent="0.25">
      <c r="B10" s="1"/>
      <c r="C10" s="1"/>
    </row>
    <row r="11" spans="1:5" ht="13" x14ac:dyDescent="0.25">
      <c r="A11" s="81" t="s">
        <v>290</v>
      </c>
      <c r="B11" s="81"/>
      <c r="C11" s="81"/>
      <c r="D11" s="81"/>
      <c r="E11" s="81"/>
    </row>
    <row r="12" spans="1:5" ht="13" x14ac:dyDescent="0.25">
      <c r="A12" s="76" t="s">
        <v>9</v>
      </c>
      <c r="B12" s="77"/>
      <c r="C12" s="77"/>
      <c r="D12" s="77"/>
      <c r="E12" s="78"/>
    </row>
    <row r="13" spans="1:5" x14ac:dyDescent="0.25">
      <c r="A13" s="5" t="s">
        <v>10</v>
      </c>
      <c r="B13" s="6" t="s">
        <v>11</v>
      </c>
      <c r="C13" s="7">
        <f>40*1.5*1.5*1.5*1.1</f>
        <v>148.5</v>
      </c>
      <c r="D13" s="6"/>
      <c r="E13" s="6">
        <f>C13*D13</f>
        <v>0</v>
      </c>
    </row>
    <row r="14" spans="1:5" x14ac:dyDescent="0.25">
      <c r="A14" s="5" t="s">
        <v>12</v>
      </c>
      <c r="B14" s="6" t="s">
        <v>11</v>
      </c>
      <c r="C14" s="7">
        <f>146*0.6*0.8*1.1</f>
        <v>77.088000000000008</v>
      </c>
      <c r="D14" s="6"/>
      <c r="E14" s="6">
        <f>C14*D14</f>
        <v>0</v>
      </c>
    </row>
    <row r="15" spans="1:5" x14ac:dyDescent="0.25">
      <c r="A15" s="5" t="s">
        <v>13</v>
      </c>
      <c r="B15" s="6" t="s">
        <v>11</v>
      </c>
      <c r="C15" s="7">
        <f>(118+47)*1.1</f>
        <v>181.50000000000003</v>
      </c>
      <c r="D15" s="6"/>
      <c r="E15" s="6">
        <f>C15*D15</f>
        <v>0</v>
      </c>
    </row>
    <row r="16" spans="1:5" ht="25" x14ac:dyDescent="0.25">
      <c r="A16" s="5" t="s">
        <v>276</v>
      </c>
      <c r="B16" s="6" t="s">
        <v>11</v>
      </c>
      <c r="C16" s="7">
        <f>456*0.4*1.1</f>
        <v>200.64000000000001</v>
      </c>
      <c r="D16" s="6"/>
      <c r="E16" s="6">
        <f>C16*D16</f>
        <v>0</v>
      </c>
    </row>
    <row r="17" spans="1:5" x14ac:dyDescent="0.25">
      <c r="A17" s="5" t="s">
        <v>15</v>
      </c>
      <c r="B17" s="6" t="s">
        <v>11</v>
      </c>
      <c r="C17" s="7">
        <v>146</v>
      </c>
      <c r="D17" s="6"/>
      <c r="E17" s="6">
        <f>C17*D17</f>
        <v>0</v>
      </c>
    </row>
    <row r="18" spans="1:5" ht="13" x14ac:dyDescent="0.25">
      <c r="A18" s="66" t="s">
        <v>16</v>
      </c>
      <c r="B18" s="67"/>
      <c r="C18" s="67"/>
      <c r="D18" s="68"/>
      <c r="E18" s="4">
        <f>SUM(E13:E17)</f>
        <v>0</v>
      </c>
    </row>
    <row r="19" spans="1:5" ht="13" x14ac:dyDescent="0.25">
      <c r="A19" s="76" t="s">
        <v>17</v>
      </c>
      <c r="B19" s="77"/>
      <c r="C19" s="77"/>
      <c r="D19" s="77"/>
      <c r="E19" s="78"/>
    </row>
    <row r="20" spans="1:5" x14ac:dyDescent="0.25">
      <c r="A20" s="5" t="s">
        <v>18</v>
      </c>
      <c r="B20" s="6" t="s">
        <v>11</v>
      </c>
      <c r="C20" s="7">
        <v>3.75</v>
      </c>
      <c r="D20" s="6"/>
      <c r="E20" s="6">
        <f t="shared" ref="E20:E21" si="0">C20*D20</f>
        <v>0</v>
      </c>
    </row>
    <row r="21" spans="1:5" x14ac:dyDescent="0.25">
      <c r="A21" s="5" t="s">
        <v>224</v>
      </c>
      <c r="B21" s="6" t="s">
        <v>11</v>
      </c>
      <c r="C21" s="7">
        <f>205*0.7*0.05*1.1</f>
        <v>7.8925000000000018</v>
      </c>
      <c r="D21" s="6"/>
      <c r="E21" s="6">
        <f t="shared" si="0"/>
        <v>0</v>
      </c>
    </row>
    <row r="22" spans="1:5" x14ac:dyDescent="0.25">
      <c r="A22" s="5" t="s">
        <v>20</v>
      </c>
      <c r="B22" s="6" t="s">
        <v>11</v>
      </c>
      <c r="C22" s="7">
        <f>1.5*1.5*0.35*40*1.1</f>
        <v>34.650000000000006</v>
      </c>
      <c r="D22" s="6"/>
      <c r="E22" s="6">
        <f>C22*D22</f>
        <v>0</v>
      </c>
    </row>
    <row r="23" spans="1:5" x14ac:dyDescent="0.25">
      <c r="A23" s="5" t="s">
        <v>21</v>
      </c>
      <c r="B23" s="6" t="s">
        <v>11</v>
      </c>
      <c r="C23" s="7">
        <f>40*1.1*0.2*0.3*1.1</f>
        <v>2.9040000000000004</v>
      </c>
      <c r="D23" s="6"/>
      <c r="E23" s="6">
        <f>C23*D23</f>
        <v>0</v>
      </c>
    </row>
    <row r="24" spans="1:5" x14ac:dyDescent="0.25">
      <c r="A24" s="5" t="s">
        <v>194</v>
      </c>
      <c r="B24" s="6" t="s">
        <v>11</v>
      </c>
      <c r="C24" s="7">
        <f>246*0.4*0.15*1.1</f>
        <v>16.236000000000001</v>
      </c>
      <c r="D24" s="6"/>
      <c r="E24" s="6">
        <f>C24*D24</f>
        <v>0</v>
      </c>
    </row>
    <row r="25" spans="1:5" x14ac:dyDescent="0.25">
      <c r="A25" s="5" t="s">
        <v>225</v>
      </c>
      <c r="B25" s="6" t="s">
        <v>23</v>
      </c>
      <c r="C25" s="7">
        <f>246*1*1.1</f>
        <v>270.60000000000002</v>
      </c>
      <c r="D25" s="6"/>
      <c r="E25" s="6">
        <f>D25*C25</f>
        <v>0</v>
      </c>
    </row>
    <row r="26" spans="1:5" ht="13" x14ac:dyDescent="0.25">
      <c r="A26" s="66" t="s">
        <v>24</v>
      </c>
      <c r="B26" s="67"/>
      <c r="C26" s="67"/>
      <c r="D26" s="68"/>
      <c r="E26" s="4">
        <f>SUM(E20:E25)</f>
        <v>0</v>
      </c>
    </row>
    <row r="27" spans="1:5" ht="13" x14ac:dyDescent="0.25">
      <c r="A27" s="76" t="s">
        <v>25</v>
      </c>
      <c r="B27" s="77"/>
      <c r="C27" s="77"/>
      <c r="D27" s="77"/>
      <c r="E27" s="78"/>
    </row>
    <row r="28" spans="1:5" x14ac:dyDescent="0.25">
      <c r="A28" s="5" t="s">
        <v>26</v>
      </c>
      <c r="B28" s="6" t="s">
        <v>23</v>
      </c>
      <c r="C28" s="7">
        <f>424*1.1</f>
        <v>466.40000000000003</v>
      </c>
      <c r="D28" s="6"/>
      <c r="E28" s="6">
        <f>D28*C28</f>
        <v>0</v>
      </c>
    </row>
    <row r="29" spans="1:5" x14ac:dyDescent="0.25">
      <c r="A29" s="5" t="s">
        <v>273</v>
      </c>
      <c r="B29" s="6" t="s">
        <v>11</v>
      </c>
      <c r="C29" s="7">
        <f>454*0.13*1.1</f>
        <v>64.922000000000011</v>
      </c>
      <c r="D29" s="6"/>
      <c r="E29" s="6">
        <f>D29*C29</f>
        <v>0</v>
      </c>
    </row>
    <row r="30" spans="1:5" ht="13" x14ac:dyDescent="0.25">
      <c r="A30" s="66" t="s">
        <v>28</v>
      </c>
      <c r="B30" s="67"/>
      <c r="C30" s="67"/>
      <c r="D30" s="68"/>
      <c r="E30" s="4">
        <f>SUM(E28:E29)</f>
        <v>0</v>
      </c>
    </row>
    <row r="31" spans="1:5" ht="13" x14ac:dyDescent="0.25">
      <c r="A31" s="76" t="s">
        <v>272</v>
      </c>
      <c r="B31" s="77"/>
      <c r="C31" s="77"/>
      <c r="D31" s="77"/>
      <c r="E31" s="78"/>
    </row>
    <row r="32" spans="1:5" x14ac:dyDescent="0.25">
      <c r="A32" s="5" t="s">
        <v>29</v>
      </c>
      <c r="B32" s="6" t="s">
        <v>11</v>
      </c>
      <c r="C32" s="7">
        <f>125*0.15*0.2*1.1</f>
        <v>4.125</v>
      </c>
      <c r="D32" s="6"/>
      <c r="E32" s="6">
        <f t="shared" ref="E32:E40" si="1">C32*D32</f>
        <v>0</v>
      </c>
    </row>
    <row r="33" spans="1:5" x14ac:dyDescent="0.25">
      <c r="A33" s="5" t="s">
        <v>30</v>
      </c>
      <c r="B33" s="6" t="s">
        <v>11</v>
      </c>
      <c r="C33" s="7">
        <f>20*0.6*0.08*1.1</f>
        <v>1.056</v>
      </c>
      <c r="D33" s="6"/>
      <c r="E33" s="6">
        <f t="shared" si="1"/>
        <v>0</v>
      </c>
    </row>
    <row r="34" spans="1:5" x14ac:dyDescent="0.25">
      <c r="A34" s="5" t="s">
        <v>196</v>
      </c>
      <c r="B34" s="6" t="s">
        <v>11</v>
      </c>
      <c r="C34" s="7">
        <f>16.1*0.25*1.1</f>
        <v>4.4275000000000011</v>
      </c>
      <c r="D34" s="6"/>
      <c r="E34" s="6">
        <f t="shared" si="1"/>
        <v>0</v>
      </c>
    </row>
    <row r="35" spans="1:5" x14ac:dyDescent="0.25">
      <c r="A35" s="5" t="s">
        <v>31</v>
      </c>
      <c r="B35" s="6" t="s">
        <v>11</v>
      </c>
      <c r="C35" s="7">
        <f>246*0.4*0.15*1.1</f>
        <v>16.236000000000001</v>
      </c>
      <c r="D35" s="6"/>
      <c r="E35" s="6">
        <f t="shared" si="1"/>
        <v>0</v>
      </c>
    </row>
    <row r="36" spans="1:5" x14ac:dyDescent="0.25">
      <c r="A36" s="5" t="s">
        <v>32</v>
      </c>
      <c r="B36" s="6" t="s">
        <v>11</v>
      </c>
      <c r="C36" s="7">
        <f>12*0.08*1.1</f>
        <v>1.056</v>
      </c>
      <c r="D36" s="6"/>
      <c r="E36" s="6">
        <f t="shared" si="1"/>
        <v>0</v>
      </c>
    </row>
    <row r="37" spans="1:5" x14ac:dyDescent="0.25">
      <c r="A37" s="5" t="s">
        <v>195</v>
      </c>
      <c r="B37" s="6" t="s">
        <v>23</v>
      </c>
      <c r="C37" s="11">
        <v>456</v>
      </c>
      <c r="D37" s="6"/>
      <c r="E37" s="6">
        <f t="shared" si="1"/>
        <v>0</v>
      </c>
    </row>
    <row r="38" spans="1:5" x14ac:dyDescent="0.25">
      <c r="A38" s="5" t="s">
        <v>33</v>
      </c>
      <c r="B38" s="6" t="s">
        <v>11</v>
      </c>
      <c r="C38" s="7">
        <f>(40*3.2*0.35*0.25*1.1)</f>
        <v>12.32</v>
      </c>
      <c r="D38" s="6"/>
      <c r="E38" s="6">
        <f t="shared" si="1"/>
        <v>0</v>
      </c>
    </row>
    <row r="39" spans="1:5" x14ac:dyDescent="0.25">
      <c r="A39" s="5" t="s">
        <v>197</v>
      </c>
      <c r="B39" s="6" t="s">
        <v>11</v>
      </c>
      <c r="C39" s="7">
        <f>6*0.25*1.1</f>
        <v>1.6500000000000001</v>
      </c>
      <c r="D39" s="6"/>
      <c r="E39" s="6">
        <f t="shared" si="1"/>
        <v>0</v>
      </c>
    </row>
    <row r="40" spans="1:5" x14ac:dyDescent="0.25">
      <c r="A40" s="8" t="s">
        <v>34</v>
      </c>
      <c r="B40" s="9" t="s">
        <v>11</v>
      </c>
      <c r="C40" s="10">
        <f>42*0.6*1.1</f>
        <v>27.720000000000002</v>
      </c>
      <c r="D40" s="6"/>
      <c r="E40" s="9">
        <f t="shared" si="1"/>
        <v>0</v>
      </c>
    </row>
    <row r="41" spans="1:5" ht="13" x14ac:dyDescent="0.25">
      <c r="A41" s="66" t="s">
        <v>35</v>
      </c>
      <c r="B41" s="67"/>
      <c r="C41" s="67"/>
      <c r="D41" s="68"/>
      <c r="E41" s="4">
        <f>SUM(E32:E40)</f>
        <v>0</v>
      </c>
    </row>
    <row r="42" spans="1:5" ht="13" x14ac:dyDescent="0.25">
      <c r="A42" s="76" t="s">
        <v>206</v>
      </c>
      <c r="B42" s="77"/>
      <c r="C42" s="77"/>
      <c r="D42" s="77"/>
      <c r="E42" s="78"/>
    </row>
    <row r="43" spans="1:5" x14ac:dyDescent="0.25">
      <c r="A43" s="5" t="s">
        <v>36</v>
      </c>
      <c r="B43" s="6" t="s">
        <v>23</v>
      </c>
      <c r="C43" s="7">
        <f>246*3.5*1.1</f>
        <v>947.1</v>
      </c>
      <c r="D43" s="6"/>
      <c r="E43" s="6">
        <f>C43*D43</f>
        <v>0</v>
      </c>
    </row>
    <row r="44" spans="1:5" ht="13" x14ac:dyDescent="0.25">
      <c r="A44" s="66" t="s">
        <v>37</v>
      </c>
      <c r="B44" s="67"/>
      <c r="C44" s="67"/>
      <c r="D44" s="68"/>
      <c r="E44" s="4">
        <f>E43</f>
        <v>0</v>
      </c>
    </row>
    <row r="45" spans="1:5" ht="13" x14ac:dyDescent="0.25">
      <c r="A45" s="76" t="s">
        <v>288</v>
      </c>
      <c r="B45" s="77"/>
      <c r="C45" s="77"/>
      <c r="D45" s="77"/>
      <c r="E45" s="78"/>
    </row>
    <row r="46" spans="1:5" ht="25" x14ac:dyDescent="0.25">
      <c r="A46" s="5" t="s">
        <v>226</v>
      </c>
      <c r="B46" s="6" t="s">
        <v>23</v>
      </c>
      <c r="C46" s="7">
        <f>52*3*1.1</f>
        <v>171.60000000000002</v>
      </c>
      <c r="D46" s="6"/>
      <c r="E46" s="6">
        <f>C46*D46</f>
        <v>0</v>
      </c>
    </row>
    <row r="47" spans="1:5" x14ac:dyDescent="0.25">
      <c r="A47" s="5" t="s">
        <v>38</v>
      </c>
      <c r="B47" s="6" t="s">
        <v>23</v>
      </c>
      <c r="C47" s="7">
        <f>246*3.5*1.1</f>
        <v>947.1</v>
      </c>
      <c r="D47" s="6"/>
      <c r="E47" s="6">
        <f>C47*D47</f>
        <v>0</v>
      </c>
    </row>
    <row r="48" spans="1:5" x14ac:dyDescent="0.25">
      <c r="A48" s="5" t="s">
        <v>39</v>
      </c>
      <c r="B48" s="6" t="s">
        <v>23</v>
      </c>
      <c r="C48" s="7">
        <f>86*8.2*1.1</f>
        <v>775.72</v>
      </c>
      <c r="D48" s="6"/>
      <c r="E48" s="6">
        <f>C48*D48</f>
        <v>0</v>
      </c>
    </row>
    <row r="49" spans="1:8" x14ac:dyDescent="0.25">
      <c r="A49" s="5" t="s">
        <v>40</v>
      </c>
      <c r="B49" s="6" t="s">
        <v>23</v>
      </c>
      <c r="C49" s="7">
        <v>454</v>
      </c>
      <c r="D49" s="6"/>
      <c r="E49" s="6">
        <f>C49*D49</f>
        <v>0</v>
      </c>
    </row>
    <row r="50" spans="1:8" ht="13" x14ac:dyDescent="0.25">
      <c r="A50" s="66" t="s">
        <v>41</v>
      </c>
      <c r="B50" s="67"/>
      <c r="C50" s="67"/>
      <c r="D50" s="68"/>
      <c r="E50" s="4">
        <f>SUM(E46:E49)</f>
        <v>0</v>
      </c>
    </row>
    <row r="51" spans="1:8" ht="13" x14ac:dyDescent="0.25">
      <c r="A51" s="85" t="s">
        <v>198</v>
      </c>
      <c r="B51" s="86"/>
      <c r="C51" s="86"/>
      <c r="D51" s="87"/>
      <c r="E51" s="12">
        <f>E18+E26+E30+E41+E44+E50</f>
        <v>0</v>
      </c>
    </row>
    <row r="52" spans="1:8" ht="13" x14ac:dyDescent="0.25">
      <c r="A52" s="76" t="s">
        <v>277</v>
      </c>
      <c r="B52" s="77"/>
      <c r="C52" s="77"/>
      <c r="D52" s="77"/>
      <c r="E52" s="78"/>
    </row>
    <row r="53" spans="1:8" x14ac:dyDescent="0.25">
      <c r="A53" s="5" t="s">
        <v>29</v>
      </c>
      <c r="B53" s="6" t="s">
        <v>11</v>
      </c>
      <c r="C53" s="7">
        <f>182*0.15*0.2*1.1</f>
        <v>6.0060000000000011</v>
      </c>
      <c r="D53" s="6"/>
      <c r="E53" s="6">
        <f t="shared" ref="E53:E59" si="2">C53*D53</f>
        <v>0</v>
      </c>
    </row>
    <row r="54" spans="1:8" x14ac:dyDescent="0.25">
      <c r="A54" s="5" t="s">
        <v>278</v>
      </c>
      <c r="B54" s="6" t="s">
        <v>11</v>
      </c>
      <c r="C54" s="7">
        <f>20*0.6*0.08*1.1</f>
        <v>1.056</v>
      </c>
      <c r="D54" s="6"/>
      <c r="E54" s="6">
        <f t="shared" si="2"/>
        <v>0</v>
      </c>
    </row>
    <row r="55" spans="1:8" x14ac:dyDescent="0.25">
      <c r="A55" s="5" t="s">
        <v>196</v>
      </c>
      <c r="B55" s="6" t="s">
        <v>11</v>
      </c>
      <c r="C55" s="7">
        <f>16.1*0.25*1.1</f>
        <v>4.4275000000000011</v>
      </c>
      <c r="D55" s="6"/>
      <c r="E55" s="6">
        <f t="shared" si="2"/>
        <v>0</v>
      </c>
    </row>
    <row r="56" spans="1:8" x14ac:dyDescent="0.25">
      <c r="A56" s="5" t="s">
        <v>31</v>
      </c>
      <c r="B56" s="6" t="s">
        <v>11</v>
      </c>
      <c r="C56" s="7">
        <f>246*0.4*0.15*1.1</f>
        <v>16.236000000000001</v>
      </c>
      <c r="D56" s="6"/>
      <c r="E56" s="6">
        <f t="shared" si="2"/>
        <v>0</v>
      </c>
    </row>
    <row r="57" spans="1:8" x14ac:dyDescent="0.25">
      <c r="A57" s="5" t="s">
        <v>32</v>
      </c>
      <c r="B57" s="6" t="s">
        <v>11</v>
      </c>
      <c r="C57" s="7">
        <f>16.1*0.08*1.1</f>
        <v>1.4168000000000001</v>
      </c>
      <c r="D57" s="6"/>
      <c r="E57" s="6">
        <f t="shared" si="2"/>
        <v>0</v>
      </c>
    </row>
    <row r="58" spans="1:8" x14ac:dyDescent="0.25">
      <c r="A58" s="5" t="s">
        <v>279</v>
      </c>
      <c r="B58" s="6" t="s">
        <v>23</v>
      </c>
      <c r="C58" s="11">
        <v>460</v>
      </c>
      <c r="D58" s="6"/>
      <c r="E58" s="6">
        <f t="shared" si="2"/>
        <v>0</v>
      </c>
      <c r="H58" s="13"/>
    </row>
    <row r="59" spans="1:8" x14ac:dyDescent="0.25">
      <c r="A59" s="5" t="s">
        <v>280</v>
      </c>
      <c r="B59" s="6" t="s">
        <v>11</v>
      </c>
      <c r="C59" s="7">
        <f>(40*3.2*0.35*0.25*1.1)</f>
        <v>12.32</v>
      </c>
      <c r="D59" s="6"/>
      <c r="E59" s="6">
        <f t="shared" si="2"/>
        <v>0</v>
      </c>
    </row>
    <row r="60" spans="1:8" ht="13" x14ac:dyDescent="0.25">
      <c r="A60" s="66" t="s">
        <v>199</v>
      </c>
      <c r="B60" s="67"/>
      <c r="C60" s="67"/>
      <c r="D60" s="68"/>
      <c r="E60" s="4">
        <f>SUM(E53:E59)</f>
        <v>0</v>
      </c>
    </row>
    <row r="61" spans="1:8" ht="13" x14ac:dyDescent="0.25">
      <c r="A61" s="76" t="s">
        <v>200</v>
      </c>
      <c r="B61" s="77"/>
      <c r="C61" s="77"/>
      <c r="D61" s="77"/>
      <c r="E61" s="78"/>
    </row>
    <row r="62" spans="1:8" x14ac:dyDescent="0.25">
      <c r="A62" s="5" t="s">
        <v>36</v>
      </c>
      <c r="B62" s="6" t="s">
        <v>23</v>
      </c>
      <c r="C62" s="7">
        <f>256*3.2*1.1</f>
        <v>901.12000000000012</v>
      </c>
      <c r="D62" s="6"/>
      <c r="E62" s="6">
        <f>C62*D62</f>
        <v>0</v>
      </c>
    </row>
    <row r="63" spans="1:8" ht="13" x14ac:dyDescent="0.25">
      <c r="A63" s="66" t="s">
        <v>201</v>
      </c>
      <c r="B63" s="67"/>
      <c r="C63" s="67"/>
      <c r="D63" s="68"/>
      <c r="E63" s="4">
        <f>E62</f>
        <v>0</v>
      </c>
    </row>
    <row r="64" spans="1:8" ht="13" x14ac:dyDescent="0.25">
      <c r="A64" s="76" t="s">
        <v>202</v>
      </c>
      <c r="B64" s="77"/>
      <c r="C64" s="77"/>
      <c r="D64" s="77"/>
      <c r="E64" s="78"/>
    </row>
    <row r="65" spans="1:9" x14ac:dyDescent="0.25">
      <c r="A65" s="5" t="s">
        <v>227</v>
      </c>
      <c r="B65" s="6" t="s">
        <v>23</v>
      </c>
      <c r="C65" s="7">
        <f>52*3*1.1</f>
        <v>171.60000000000002</v>
      </c>
      <c r="D65" s="6"/>
      <c r="E65" s="6">
        <f>C65*D65</f>
        <v>0</v>
      </c>
    </row>
    <row r="66" spans="1:9" x14ac:dyDescent="0.25">
      <c r="A66" s="5" t="s">
        <v>38</v>
      </c>
      <c r="B66" s="6" t="s">
        <v>23</v>
      </c>
      <c r="C66" s="7">
        <f>256*3*1.1</f>
        <v>844.80000000000007</v>
      </c>
      <c r="D66" s="6"/>
      <c r="E66" s="6">
        <f>C66*D66</f>
        <v>0</v>
      </c>
    </row>
    <row r="67" spans="1:9" x14ac:dyDescent="0.25">
      <c r="A67" s="5" t="s">
        <v>39</v>
      </c>
      <c r="B67" s="6" t="s">
        <v>23</v>
      </c>
      <c r="C67" s="7">
        <f>98*4.2*1.1</f>
        <v>452.76000000000005</v>
      </c>
      <c r="D67" s="6"/>
      <c r="E67" s="6">
        <f>C67*D67</f>
        <v>0</v>
      </c>
      <c r="I67" s="13"/>
    </row>
    <row r="68" spans="1:9" x14ac:dyDescent="0.25">
      <c r="A68" s="5" t="s">
        <v>40</v>
      </c>
      <c r="B68" s="6" t="s">
        <v>23</v>
      </c>
      <c r="C68" s="7">
        <v>490</v>
      </c>
      <c r="D68" s="6"/>
      <c r="E68" s="6">
        <f>C68*D68</f>
        <v>0</v>
      </c>
    </row>
    <row r="69" spans="1:9" ht="13" x14ac:dyDescent="0.25">
      <c r="A69" s="66" t="s">
        <v>203</v>
      </c>
      <c r="B69" s="67"/>
      <c r="C69" s="67"/>
      <c r="D69" s="68"/>
      <c r="E69" s="4">
        <f>SUM(E65:E68)</f>
        <v>0</v>
      </c>
    </row>
    <row r="70" spans="1:9" ht="13" x14ac:dyDescent="0.25">
      <c r="A70" s="85" t="s">
        <v>204</v>
      </c>
      <c r="B70" s="86"/>
      <c r="C70" s="86"/>
      <c r="D70" s="87"/>
      <c r="E70" s="12">
        <f>E69+E63+E60</f>
        <v>0</v>
      </c>
    </row>
    <row r="71" spans="1:9" ht="13" x14ac:dyDescent="0.25">
      <c r="A71" s="104" t="s">
        <v>42</v>
      </c>
      <c r="B71" s="105"/>
      <c r="C71" s="105"/>
      <c r="D71" s="106"/>
      <c r="E71" s="14">
        <f>E70+E51</f>
        <v>0</v>
      </c>
    </row>
    <row r="72" spans="1:9" x14ac:dyDescent="0.25">
      <c r="C72" s="1"/>
    </row>
    <row r="73" spans="1:9" ht="13" x14ac:dyDescent="0.25">
      <c r="A73" s="69" t="s">
        <v>43</v>
      </c>
      <c r="B73" s="70"/>
      <c r="C73" s="70"/>
      <c r="D73" s="70"/>
      <c r="E73" s="71"/>
    </row>
    <row r="74" spans="1:9" ht="27" customHeight="1" x14ac:dyDescent="0.25">
      <c r="A74" s="101" t="s">
        <v>291</v>
      </c>
      <c r="B74" s="102"/>
      <c r="C74" s="102"/>
      <c r="D74" s="102"/>
      <c r="E74" s="103"/>
    </row>
    <row r="75" spans="1:9" ht="13" x14ac:dyDescent="0.25">
      <c r="A75" s="66" t="s">
        <v>44</v>
      </c>
      <c r="B75" s="67"/>
      <c r="C75" s="67"/>
      <c r="D75" s="67"/>
      <c r="E75" s="68"/>
    </row>
    <row r="76" spans="1:9" x14ac:dyDescent="0.25">
      <c r="A76" s="5" t="s">
        <v>217</v>
      </c>
      <c r="B76" s="6" t="s">
        <v>23</v>
      </c>
      <c r="C76" s="7">
        <v>460</v>
      </c>
      <c r="D76" s="6"/>
      <c r="E76" s="6">
        <f>C76*D76</f>
        <v>0</v>
      </c>
    </row>
    <row r="77" spans="1:9" ht="25" x14ac:dyDescent="0.25">
      <c r="A77" s="5" t="s">
        <v>45</v>
      </c>
      <c r="B77" s="6" t="s">
        <v>23</v>
      </c>
      <c r="C77" s="7">
        <v>880</v>
      </c>
      <c r="D77" s="6"/>
      <c r="E77" s="6">
        <f>C77*D77</f>
        <v>0</v>
      </c>
    </row>
    <row r="78" spans="1:9" ht="25" x14ac:dyDescent="0.25">
      <c r="A78" s="5" t="s">
        <v>46</v>
      </c>
      <c r="B78" s="6" t="s">
        <v>23</v>
      </c>
      <c r="C78" s="7">
        <f>61.4*1.1</f>
        <v>67.540000000000006</v>
      </c>
      <c r="D78" s="6"/>
      <c r="E78" s="6">
        <f>D78*C78</f>
        <v>0</v>
      </c>
    </row>
    <row r="79" spans="1:9" ht="25" x14ac:dyDescent="0.25">
      <c r="A79" s="5" t="s">
        <v>267</v>
      </c>
      <c r="B79" s="6" t="s">
        <v>23</v>
      </c>
      <c r="C79" s="7">
        <f>133*3.2*1.1</f>
        <v>468.16000000000008</v>
      </c>
      <c r="D79" s="6"/>
      <c r="E79" s="6">
        <f>C79*D79</f>
        <v>0</v>
      </c>
    </row>
    <row r="80" spans="1:9" ht="25" x14ac:dyDescent="0.25">
      <c r="A80" s="8" t="s">
        <v>209</v>
      </c>
      <c r="B80" s="9" t="s">
        <v>23</v>
      </c>
      <c r="C80" s="10">
        <v>82</v>
      </c>
      <c r="D80" s="9"/>
      <c r="E80" s="9">
        <f>C80*D80</f>
        <v>0</v>
      </c>
    </row>
    <row r="81" spans="1:5" x14ac:dyDescent="0.25">
      <c r="A81" s="5" t="s">
        <v>47</v>
      </c>
      <c r="B81" s="6" t="s">
        <v>48</v>
      </c>
      <c r="C81" s="7">
        <v>1220</v>
      </c>
      <c r="D81" s="6"/>
      <c r="E81" s="6">
        <f>C81*D81</f>
        <v>0</v>
      </c>
    </row>
    <row r="82" spans="1:5" x14ac:dyDescent="0.25">
      <c r="A82" s="8" t="s">
        <v>49</v>
      </c>
      <c r="B82" s="9" t="s">
        <v>6</v>
      </c>
      <c r="C82" s="10">
        <v>1</v>
      </c>
      <c r="D82" s="9"/>
      <c r="E82" s="9">
        <f>C82*D82</f>
        <v>0</v>
      </c>
    </row>
    <row r="83" spans="1:5" ht="13" x14ac:dyDescent="0.25">
      <c r="A83" s="66" t="s">
        <v>50</v>
      </c>
      <c r="B83" s="67"/>
      <c r="C83" s="67"/>
      <c r="D83" s="68"/>
      <c r="E83" s="4">
        <f>SUM(E76:E82)</f>
        <v>0</v>
      </c>
    </row>
    <row r="84" spans="1:5" ht="13" x14ac:dyDescent="0.25">
      <c r="A84" s="76" t="s">
        <v>51</v>
      </c>
      <c r="B84" s="77"/>
      <c r="C84" s="77"/>
      <c r="D84" s="77"/>
      <c r="E84" s="78"/>
    </row>
    <row r="85" spans="1:5" x14ac:dyDescent="0.25">
      <c r="A85" s="101" t="s">
        <v>52</v>
      </c>
      <c r="B85" s="102"/>
      <c r="C85" s="102"/>
      <c r="D85" s="102"/>
      <c r="E85" s="103"/>
    </row>
    <row r="86" spans="1:5" x14ac:dyDescent="0.25">
      <c r="A86" s="5" t="s">
        <v>53</v>
      </c>
      <c r="B86" s="6" t="s">
        <v>23</v>
      </c>
      <c r="C86" s="7">
        <v>2850</v>
      </c>
      <c r="D86" s="6"/>
      <c r="E86" s="6">
        <f>D86*C86</f>
        <v>0</v>
      </c>
    </row>
    <row r="87" spans="1:5" ht="25" x14ac:dyDescent="0.25">
      <c r="A87" s="5" t="s">
        <v>54</v>
      </c>
      <c r="B87" s="6" t="s">
        <v>23</v>
      </c>
      <c r="C87" s="7">
        <v>1521</v>
      </c>
      <c r="D87" s="6"/>
      <c r="E87" s="6">
        <f>C87*D87</f>
        <v>0</v>
      </c>
    </row>
    <row r="88" spans="1:5" ht="25" x14ac:dyDescent="0.25">
      <c r="A88" s="5" t="s">
        <v>55</v>
      </c>
      <c r="B88" s="6" t="s">
        <v>23</v>
      </c>
      <c r="C88" s="7">
        <v>717</v>
      </c>
      <c r="D88" s="6"/>
      <c r="E88" s="6">
        <f>C88*D88</f>
        <v>0</v>
      </c>
    </row>
    <row r="89" spans="1:5" ht="25" x14ac:dyDescent="0.25">
      <c r="A89" s="5" t="s">
        <v>56</v>
      </c>
      <c r="B89" s="6" t="s">
        <v>23</v>
      </c>
      <c r="C89" s="7">
        <f>490+390</f>
        <v>880</v>
      </c>
      <c r="D89" s="6"/>
      <c r="E89" s="6">
        <f>+D89*C89</f>
        <v>0</v>
      </c>
    </row>
    <row r="90" spans="1:5" ht="25" x14ac:dyDescent="0.25">
      <c r="A90" s="5" t="s">
        <v>57</v>
      </c>
      <c r="B90" s="6" t="s">
        <v>23</v>
      </c>
      <c r="C90" s="7">
        <v>58</v>
      </c>
      <c r="D90" s="6"/>
      <c r="E90" s="6">
        <f>C90*D90</f>
        <v>0</v>
      </c>
    </row>
    <row r="91" spans="1:5" ht="13" x14ac:dyDescent="0.25">
      <c r="A91" s="66" t="s">
        <v>58</v>
      </c>
      <c r="B91" s="67"/>
      <c r="C91" s="67"/>
      <c r="D91" s="68"/>
      <c r="E91" s="4">
        <f>SUM(E86:E90)</f>
        <v>0</v>
      </c>
    </row>
    <row r="92" spans="1:5" ht="13" x14ac:dyDescent="0.25">
      <c r="A92" s="76" t="s">
        <v>59</v>
      </c>
      <c r="B92" s="77"/>
      <c r="C92" s="77"/>
      <c r="D92" s="77"/>
      <c r="E92" s="78"/>
    </row>
    <row r="93" spans="1:5" x14ac:dyDescent="0.25">
      <c r="A93" s="8" t="s">
        <v>228</v>
      </c>
      <c r="B93" s="9" t="s">
        <v>23</v>
      </c>
      <c r="C93" s="10">
        <v>880</v>
      </c>
      <c r="D93" s="9"/>
      <c r="E93" s="9">
        <f>+D93*C93</f>
        <v>0</v>
      </c>
    </row>
    <row r="94" spans="1:5" ht="25" x14ac:dyDescent="0.25">
      <c r="A94" s="8" t="s">
        <v>60</v>
      </c>
      <c r="B94" s="9" t="s">
        <v>23</v>
      </c>
      <c r="C94" s="10">
        <v>72</v>
      </c>
      <c r="D94" s="9"/>
      <c r="E94" s="9">
        <f>+D94*C94</f>
        <v>0</v>
      </c>
    </row>
    <row r="95" spans="1:5" ht="13" x14ac:dyDescent="0.25">
      <c r="A95" s="66" t="s">
        <v>61</v>
      </c>
      <c r="B95" s="67"/>
      <c r="C95" s="67"/>
      <c r="D95" s="68"/>
      <c r="E95" s="4">
        <f>SUM(E93:E94)</f>
        <v>0</v>
      </c>
    </row>
    <row r="96" spans="1:5" ht="13" x14ac:dyDescent="0.25">
      <c r="A96" s="85" t="s">
        <v>62</v>
      </c>
      <c r="B96" s="86"/>
      <c r="C96" s="86"/>
      <c r="D96" s="87"/>
      <c r="E96" s="12">
        <f>E95+E91+E83</f>
        <v>0</v>
      </c>
    </row>
    <row r="97" spans="1:5" ht="13" x14ac:dyDescent="0.25">
      <c r="A97" s="76" t="s">
        <v>63</v>
      </c>
      <c r="B97" s="77"/>
      <c r="C97" s="77"/>
      <c r="D97" s="77"/>
      <c r="E97" s="78"/>
    </row>
    <row r="98" spans="1:5" ht="13" x14ac:dyDescent="0.25">
      <c r="A98" s="66" t="s">
        <v>64</v>
      </c>
      <c r="B98" s="67"/>
      <c r="C98" s="67"/>
      <c r="D98" s="67"/>
      <c r="E98" s="68"/>
    </row>
    <row r="99" spans="1:5" ht="13" x14ac:dyDescent="0.25">
      <c r="A99" s="66" t="s">
        <v>65</v>
      </c>
      <c r="B99" s="67"/>
      <c r="C99" s="67"/>
      <c r="D99" s="67"/>
      <c r="E99" s="68"/>
    </row>
    <row r="100" spans="1:5" x14ac:dyDescent="0.25">
      <c r="A100" s="5" t="s">
        <v>66</v>
      </c>
      <c r="B100" s="6"/>
      <c r="C100" s="7"/>
      <c r="D100" s="6"/>
      <c r="E100" s="6"/>
    </row>
    <row r="101" spans="1:5" x14ac:dyDescent="0.25">
      <c r="A101" s="5" t="s">
        <v>67</v>
      </c>
      <c r="B101" s="6" t="s">
        <v>68</v>
      </c>
      <c r="C101" s="7">
        <v>16</v>
      </c>
      <c r="D101" s="6"/>
      <c r="E101" s="6">
        <f>D101*C101</f>
        <v>0</v>
      </c>
    </row>
    <row r="102" spans="1:5" x14ac:dyDescent="0.25">
      <c r="A102" s="5" t="s">
        <v>210</v>
      </c>
      <c r="B102" s="6" t="s">
        <v>68</v>
      </c>
      <c r="C102" s="7">
        <v>1</v>
      </c>
      <c r="D102" s="6"/>
      <c r="E102" s="6">
        <f t="shared" ref="E102:E107" si="3">D102*C102</f>
        <v>0</v>
      </c>
    </row>
    <row r="103" spans="1:5" x14ac:dyDescent="0.25">
      <c r="A103" s="5" t="s">
        <v>69</v>
      </c>
      <c r="B103" s="6" t="s">
        <v>68</v>
      </c>
      <c r="C103" s="7">
        <v>3</v>
      </c>
      <c r="D103" s="6"/>
      <c r="E103" s="6">
        <f t="shared" si="3"/>
        <v>0</v>
      </c>
    </row>
    <row r="104" spans="1:5" x14ac:dyDescent="0.25">
      <c r="A104" s="5" t="s">
        <v>229</v>
      </c>
      <c r="B104" s="6" t="s">
        <v>68</v>
      </c>
      <c r="C104" s="7">
        <v>3</v>
      </c>
      <c r="D104" s="6"/>
      <c r="E104" s="6">
        <f t="shared" si="3"/>
        <v>0</v>
      </c>
    </row>
    <row r="105" spans="1:5" x14ac:dyDescent="0.25">
      <c r="A105" s="5" t="s">
        <v>212</v>
      </c>
      <c r="B105" s="6" t="s">
        <v>68</v>
      </c>
      <c r="C105" s="7">
        <v>1</v>
      </c>
      <c r="D105" s="6"/>
      <c r="E105" s="6">
        <f t="shared" si="3"/>
        <v>0</v>
      </c>
    </row>
    <row r="106" spans="1:5" x14ac:dyDescent="0.25">
      <c r="A106" s="5" t="s">
        <v>70</v>
      </c>
      <c r="B106" s="6" t="s">
        <v>68</v>
      </c>
      <c r="C106" s="7">
        <v>13</v>
      </c>
      <c r="D106" s="6"/>
      <c r="E106" s="6">
        <f t="shared" si="3"/>
        <v>0</v>
      </c>
    </row>
    <row r="107" spans="1:5" x14ac:dyDescent="0.25">
      <c r="A107" s="5" t="s">
        <v>230</v>
      </c>
      <c r="B107" s="6" t="s">
        <v>68</v>
      </c>
      <c r="C107" s="7">
        <v>14</v>
      </c>
      <c r="D107" s="6"/>
      <c r="E107" s="6">
        <f t="shared" si="3"/>
        <v>0</v>
      </c>
    </row>
    <row r="108" spans="1:5" x14ac:dyDescent="0.25">
      <c r="A108" s="5" t="s">
        <v>231</v>
      </c>
      <c r="B108" s="6" t="s">
        <v>68</v>
      </c>
      <c r="C108" s="7">
        <v>2</v>
      </c>
      <c r="D108" s="6"/>
      <c r="E108" s="6">
        <f t="shared" ref="E108" si="4">D108*C108</f>
        <v>0</v>
      </c>
    </row>
    <row r="109" spans="1:5" ht="13" x14ac:dyDescent="0.25">
      <c r="A109" s="66" t="s">
        <v>71</v>
      </c>
      <c r="B109" s="67"/>
      <c r="C109" s="67"/>
      <c r="D109" s="68"/>
      <c r="E109" s="4">
        <f>SUM(E101:E108)</f>
        <v>0</v>
      </c>
    </row>
    <row r="110" spans="1:5" ht="13" x14ac:dyDescent="0.25">
      <c r="A110" s="76" t="s">
        <v>72</v>
      </c>
      <c r="B110" s="77"/>
      <c r="C110" s="77"/>
      <c r="D110" s="77"/>
      <c r="E110" s="78"/>
    </row>
    <row r="111" spans="1:5" ht="25" x14ac:dyDescent="0.25">
      <c r="A111" s="5" t="s">
        <v>232</v>
      </c>
      <c r="B111" s="6" t="s">
        <v>68</v>
      </c>
      <c r="C111" s="7">
        <v>5</v>
      </c>
      <c r="D111" s="6"/>
      <c r="E111" s="6">
        <f>D111*C111</f>
        <v>0</v>
      </c>
    </row>
    <row r="112" spans="1:5" ht="13" x14ac:dyDescent="0.25">
      <c r="A112" s="66" t="s">
        <v>73</v>
      </c>
      <c r="B112" s="67"/>
      <c r="C112" s="67"/>
      <c r="D112" s="67"/>
      <c r="E112" s="68"/>
    </row>
    <row r="113" spans="1:5" ht="25" x14ac:dyDescent="0.25">
      <c r="A113" s="5" t="s">
        <v>211</v>
      </c>
      <c r="B113" s="6" t="s">
        <v>68</v>
      </c>
      <c r="C113" s="7">
        <v>3</v>
      </c>
      <c r="D113" s="6"/>
      <c r="E113" s="6">
        <f>D113*C113</f>
        <v>0</v>
      </c>
    </row>
    <row r="114" spans="1:5" ht="13" x14ac:dyDescent="0.25">
      <c r="A114" s="98" t="s">
        <v>293</v>
      </c>
      <c r="B114" s="99"/>
      <c r="C114" s="99"/>
      <c r="D114" s="100"/>
      <c r="E114" s="4">
        <f>E113+E111</f>
        <v>0</v>
      </c>
    </row>
    <row r="115" spans="1:5" ht="13" x14ac:dyDescent="0.25">
      <c r="A115" s="66" t="s">
        <v>213</v>
      </c>
      <c r="B115" s="67"/>
      <c r="C115" s="67"/>
      <c r="D115" s="67"/>
      <c r="E115" s="68"/>
    </row>
    <row r="116" spans="1:5" ht="25" x14ac:dyDescent="0.25">
      <c r="A116" s="5" t="s">
        <v>214</v>
      </c>
      <c r="B116" s="6" t="s">
        <v>48</v>
      </c>
      <c r="C116" s="7">
        <v>5</v>
      </c>
      <c r="D116" s="6"/>
      <c r="E116" s="6">
        <f>C116*D116</f>
        <v>0</v>
      </c>
    </row>
    <row r="117" spans="1:5" ht="13" x14ac:dyDescent="0.25">
      <c r="A117" s="66" t="s">
        <v>215</v>
      </c>
      <c r="B117" s="67"/>
      <c r="C117" s="67"/>
      <c r="D117" s="68"/>
      <c r="E117" s="4">
        <f>E116</f>
        <v>0</v>
      </c>
    </row>
    <row r="118" spans="1:5" ht="13" x14ac:dyDescent="0.25">
      <c r="A118" s="76" t="s">
        <v>74</v>
      </c>
      <c r="B118" s="77"/>
      <c r="C118" s="77"/>
      <c r="D118" s="77"/>
      <c r="E118" s="78"/>
    </row>
    <row r="119" spans="1:5" ht="13" x14ac:dyDescent="0.25">
      <c r="A119" s="66" t="s">
        <v>75</v>
      </c>
      <c r="B119" s="67"/>
      <c r="C119" s="67"/>
      <c r="D119" s="67"/>
      <c r="E119" s="68"/>
    </row>
    <row r="120" spans="1:5" ht="13" x14ac:dyDescent="0.25">
      <c r="A120" s="95" t="s">
        <v>183</v>
      </c>
      <c r="B120" s="96"/>
      <c r="C120" s="96"/>
      <c r="D120" s="96"/>
      <c r="E120" s="97"/>
    </row>
    <row r="121" spans="1:5" ht="25" x14ac:dyDescent="0.25">
      <c r="A121" s="8" t="s">
        <v>184</v>
      </c>
      <c r="B121" s="9" t="s">
        <v>68</v>
      </c>
      <c r="C121" s="10">
        <v>18</v>
      </c>
      <c r="D121" s="9"/>
      <c r="E121" s="9">
        <f t="shared" ref="E121:E122" si="5">C121*D121</f>
        <v>0</v>
      </c>
    </row>
    <row r="122" spans="1:5" s="15" customFormat="1" ht="25" x14ac:dyDescent="0.25">
      <c r="A122" s="8" t="s">
        <v>192</v>
      </c>
      <c r="B122" s="9" t="s">
        <v>68</v>
      </c>
      <c r="C122" s="10">
        <v>10</v>
      </c>
      <c r="D122" s="9"/>
      <c r="E122" s="9">
        <f t="shared" si="5"/>
        <v>0</v>
      </c>
    </row>
    <row r="123" spans="1:5" s="15" customFormat="1" ht="25" x14ac:dyDescent="0.25">
      <c r="A123" s="8" t="s">
        <v>233</v>
      </c>
      <c r="B123" s="9" t="s">
        <v>68</v>
      </c>
      <c r="C123" s="10">
        <v>9</v>
      </c>
      <c r="D123" s="9"/>
      <c r="E123" s="9">
        <f>C123*D123</f>
        <v>0</v>
      </c>
    </row>
    <row r="124" spans="1:5" s="15" customFormat="1" ht="25" x14ac:dyDescent="0.25">
      <c r="A124" s="8" t="s">
        <v>216</v>
      </c>
      <c r="B124" s="9" t="s">
        <v>68</v>
      </c>
      <c r="C124" s="10">
        <v>5</v>
      </c>
      <c r="D124" s="9"/>
      <c r="E124" s="9">
        <f>C124*D124</f>
        <v>0</v>
      </c>
    </row>
    <row r="125" spans="1:5" ht="13" x14ac:dyDescent="0.25">
      <c r="A125" s="66" t="s">
        <v>76</v>
      </c>
      <c r="B125" s="67"/>
      <c r="C125" s="67"/>
      <c r="D125" s="68"/>
      <c r="E125" s="4">
        <f>SUM(E121:E124)</f>
        <v>0</v>
      </c>
    </row>
    <row r="126" spans="1:5" x14ac:dyDescent="0.25">
      <c r="A126" s="5" t="s">
        <v>234</v>
      </c>
      <c r="B126" s="6" t="s">
        <v>68</v>
      </c>
      <c r="C126" s="7">
        <v>1</v>
      </c>
      <c r="D126" s="6"/>
      <c r="E126" s="6">
        <f>D126*C126</f>
        <v>0</v>
      </c>
    </row>
    <row r="127" spans="1:5" x14ac:dyDescent="0.25">
      <c r="A127" s="5" t="s">
        <v>235</v>
      </c>
      <c r="B127" s="6" t="s">
        <v>68</v>
      </c>
      <c r="C127" s="7">
        <v>1</v>
      </c>
      <c r="D127" s="6"/>
      <c r="E127" s="6">
        <f>D127*C127</f>
        <v>0</v>
      </c>
    </row>
    <row r="128" spans="1:5" ht="13" x14ac:dyDescent="0.25">
      <c r="A128" s="66" t="s">
        <v>77</v>
      </c>
      <c r="B128" s="67"/>
      <c r="C128" s="67"/>
      <c r="D128" s="68"/>
      <c r="E128" s="4">
        <f>SUM(E126:E127)</f>
        <v>0</v>
      </c>
    </row>
    <row r="129" spans="1:5" ht="13" x14ac:dyDescent="0.25">
      <c r="A129" s="85" t="s">
        <v>78</v>
      </c>
      <c r="B129" s="86"/>
      <c r="C129" s="86"/>
      <c r="D129" s="87"/>
      <c r="E129" s="12">
        <f>E128+E125+E117+E114+E109</f>
        <v>0</v>
      </c>
    </row>
    <row r="130" spans="1:5" ht="13" x14ac:dyDescent="0.25">
      <c r="A130" s="76" t="s">
        <v>79</v>
      </c>
      <c r="B130" s="77"/>
      <c r="C130" s="77"/>
      <c r="D130" s="77"/>
      <c r="E130" s="78"/>
    </row>
    <row r="131" spans="1:5" ht="25" x14ac:dyDescent="0.25">
      <c r="A131" s="5" t="s">
        <v>80</v>
      </c>
      <c r="B131" s="6" t="s">
        <v>81</v>
      </c>
      <c r="C131" s="7">
        <v>1</v>
      </c>
      <c r="D131" s="6"/>
      <c r="E131" s="6">
        <f t="shared" ref="E131:E136" si="6">+D131*C131</f>
        <v>0</v>
      </c>
    </row>
    <row r="132" spans="1:5" ht="13" x14ac:dyDescent="0.25">
      <c r="A132" s="66" t="s">
        <v>285</v>
      </c>
      <c r="B132" s="67"/>
      <c r="C132" s="67"/>
      <c r="D132" s="68"/>
      <c r="E132" s="4">
        <f>E131</f>
        <v>0</v>
      </c>
    </row>
    <row r="133" spans="1:5" ht="13" x14ac:dyDescent="0.25">
      <c r="A133" s="66" t="s">
        <v>284</v>
      </c>
      <c r="B133" s="67"/>
      <c r="C133" s="67"/>
      <c r="D133" s="67"/>
      <c r="E133" s="68"/>
    </row>
    <row r="134" spans="1:5" ht="25" x14ac:dyDescent="0.25">
      <c r="A134" s="8" t="s">
        <v>83</v>
      </c>
      <c r="B134" s="9" t="s">
        <v>81</v>
      </c>
      <c r="C134" s="10">
        <v>1</v>
      </c>
      <c r="D134" s="9"/>
      <c r="E134" s="9">
        <f t="shared" si="6"/>
        <v>0</v>
      </c>
    </row>
    <row r="135" spans="1:5" x14ac:dyDescent="0.25">
      <c r="A135" s="8" t="s">
        <v>84</v>
      </c>
      <c r="B135" s="9" t="s">
        <v>81</v>
      </c>
      <c r="C135" s="10">
        <v>1</v>
      </c>
      <c r="D135" s="9"/>
      <c r="E135" s="9">
        <f t="shared" si="6"/>
        <v>0</v>
      </c>
    </row>
    <row r="136" spans="1:5" x14ac:dyDescent="0.25">
      <c r="A136" s="8" t="s">
        <v>85</v>
      </c>
      <c r="B136" s="9" t="s">
        <v>81</v>
      </c>
      <c r="C136" s="10">
        <v>1</v>
      </c>
      <c r="D136" s="9"/>
      <c r="E136" s="9">
        <f t="shared" si="6"/>
        <v>0</v>
      </c>
    </row>
    <row r="137" spans="1:5" ht="13" x14ac:dyDescent="0.25">
      <c r="A137" s="95" t="s">
        <v>86</v>
      </c>
      <c r="B137" s="96"/>
      <c r="C137" s="96"/>
      <c r="D137" s="96"/>
      <c r="E137" s="97"/>
    </row>
    <row r="138" spans="1:5" x14ac:dyDescent="0.25">
      <c r="A138" s="8" t="s">
        <v>87</v>
      </c>
      <c r="B138" s="9" t="s">
        <v>6</v>
      </c>
      <c r="C138" s="10">
        <v>1</v>
      </c>
      <c r="D138" s="9"/>
      <c r="E138" s="9">
        <f>+D138*C138</f>
        <v>0</v>
      </c>
    </row>
    <row r="139" spans="1:5" s="15" customFormat="1" x14ac:dyDescent="0.25">
      <c r="A139" s="8" t="s">
        <v>88</v>
      </c>
      <c r="B139" s="9" t="s">
        <v>48</v>
      </c>
      <c r="C139" s="10">
        <v>390</v>
      </c>
      <c r="D139" s="9"/>
      <c r="E139" s="9">
        <f t="shared" ref="E139:E160" si="7">+D139*C139</f>
        <v>0</v>
      </c>
    </row>
    <row r="140" spans="1:5" s="15" customFormat="1" x14ac:dyDescent="0.25">
      <c r="A140" s="8" t="s">
        <v>89</v>
      </c>
      <c r="B140" s="9" t="s">
        <v>48</v>
      </c>
      <c r="C140" s="10">
        <v>485</v>
      </c>
      <c r="D140" s="9"/>
      <c r="E140" s="9">
        <f t="shared" si="7"/>
        <v>0</v>
      </c>
    </row>
    <row r="141" spans="1:5" s="15" customFormat="1" x14ac:dyDescent="0.25">
      <c r="A141" s="8" t="s">
        <v>90</v>
      </c>
      <c r="B141" s="9" t="s">
        <v>48</v>
      </c>
      <c r="C141" s="10">
        <v>135</v>
      </c>
      <c r="D141" s="9"/>
      <c r="E141" s="9">
        <f t="shared" si="7"/>
        <v>0</v>
      </c>
    </row>
    <row r="142" spans="1:5" x14ac:dyDescent="0.25">
      <c r="A142" s="8" t="s">
        <v>186</v>
      </c>
      <c r="B142" s="9" t="s">
        <v>48</v>
      </c>
      <c r="C142" s="10">
        <v>35</v>
      </c>
      <c r="D142" s="9"/>
      <c r="E142" s="9">
        <f t="shared" si="7"/>
        <v>0</v>
      </c>
    </row>
    <row r="143" spans="1:5" x14ac:dyDescent="0.25">
      <c r="A143" s="8" t="s">
        <v>185</v>
      </c>
      <c r="B143" s="9" t="s">
        <v>48</v>
      </c>
      <c r="C143" s="10">
        <v>28</v>
      </c>
      <c r="D143" s="9"/>
      <c r="E143" s="9">
        <f t="shared" si="7"/>
        <v>0</v>
      </c>
    </row>
    <row r="144" spans="1:5" x14ac:dyDescent="0.25">
      <c r="A144" s="8" t="s">
        <v>91</v>
      </c>
      <c r="B144" s="9" t="s">
        <v>48</v>
      </c>
      <c r="C144" s="10">
        <v>85</v>
      </c>
      <c r="D144" s="9"/>
      <c r="E144" s="9">
        <f t="shared" si="7"/>
        <v>0</v>
      </c>
    </row>
    <row r="145" spans="1:5" ht="25" x14ac:dyDescent="0.25">
      <c r="A145" s="8" t="s">
        <v>92</v>
      </c>
      <c r="B145" s="9" t="s">
        <v>5</v>
      </c>
      <c r="C145" s="10">
        <v>1</v>
      </c>
      <c r="D145" s="9"/>
      <c r="E145" s="9">
        <f t="shared" si="7"/>
        <v>0</v>
      </c>
    </row>
    <row r="146" spans="1:5" x14ac:dyDescent="0.25">
      <c r="A146" s="5" t="s">
        <v>93</v>
      </c>
      <c r="B146" s="6" t="s">
        <v>68</v>
      </c>
      <c r="C146" s="7">
        <v>16</v>
      </c>
      <c r="D146" s="6"/>
      <c r="E146" s="6">
        <f t="shared" si="7"/>
        <v>0</v>
      </c>
    </row>
    <row r="147" spans="1:5" x14ac:dyDescent="0.25">
      <c r="A147" s="5" t="s">
        <v>94</v>
      </c>
      <c r="B147" s="6" t="s">
        <v>68</v>
      </c>
      <c r="C147" s="7">
        <v>22</v>
      </c>
      <c r="D147" s="6"/>
      <c r="E147" s="6">
        <f t="shared" si="7"/>
        <v>0</v>
      </c>
    </row>
    <row r="148" spans="1:5" x14ac:dyDescent="0.25">
      <c r="A148" s="5" t="s">
        <v>95</v>
      </c>
      <c r="B148" s="6" t="s">
        <v>68</v>
      </c>
      <c r="C148" s="7">
        <v>6</v>
      </c>
      <c r="D148" s="6"/>
      <c r="E148" s="6">
        <f t="shared" si="7"/>
        <v>0</v>
      </c>
    </row>
    <row r="149" spans="1:5" x14ac:dyDescent="0.25">
      <c r="A149" s="5" t="s">
        <v>96</v>
      </c>
      <c r="B149" s="6" t="s">
        <v>68</v>
      </c>
      <c r="C149" s="7">
        <v>21</v>
      </c>
      <c r="D149" s="6"/>
      <c r="E149" s="6">
        <f t="shared" si="7"/>
        <v>0</v>
      </c>
    </row>
    <row r="150" spans="1:5" x14ac:dyDescent="0.25">
      <c r="A150" s="5" t="s">
        <v>97</v>
      </c>
      <c r="B150" s="6" t="s">
        <v>68</v>
      </c>
      <c r="C150" s="7">
        <v>25</v>
      </c>
      <c r="D150" s="6"/>
      <c r="E150" s="6">
        <f t="shared" si="7"/>
        <v>0</v>
      </c>
    </row>
    <row r="151" spans="1:5" x14ac:dyDescent="0.25">
      <c r="A151" s="5" t="s">
        <v>98</v>
      </c>
      <c r="B151" s="6" t="s">
        <v>68</v>
      </c>
      <c r="C151" s="7">
        <v>38</v>
      </c>
      <c r="D151" s="6"/>
      <c r="E151" s="6">
        <f t="shared" si="7"/>
        <v>0</v>
      </c>
    </row>
    <row r="152" spans="1:5" x14ac:dyDescent="0.25">
      <c r="A152" s="5" t="s">
        <v>99</v>
      </c>
      <c r="B152" s="6" t="s">
        <v>68</v>
      </c>
      <c r="C152" s="7">
        <v>18</v>
      </c>
      <c r="D152" s="6"/>
      <c r="E152" s="6">
        <f t="shared" si="7"/>
        <v>0</v>
      </c>
    </row>
    <row r="153" spans="1:5" x14ac:dyDescent="0.25">
      <c r="A153" s="5" t="s">
        <v>100</v>
      </c>
      <c r="B153" s="6" t="s">
        <v>68</v>
      </c>
      <c r="C153" s="7">
        <v>16</v>
      </c>
      <c r="D153" s="6"/>
      <c r="E153" s="6">
        <f t="shared" si="7"/>
        <v>0</v>
      </c>
    </row>
    <row r="154" spans="1:5" x14ac:dyDescent="0.25">
      <c r="A154" s="5" t="s">
        <v>101</v>
      </c>
      <c r="B154" s="6" t="s">
        <v>68</v>
      </c>
      <c r="C154" s="7">
        <v>12</v>
      </c>
      <c r="D154" s="6"/>
      <c r="E154" s="6">
        <f t="shared" si="7"/>
        <v>0</v>
      </c>
    </row>
    <row r="155" spans="1:5" x14ac:dyDescent="0.25">
      <c r="A155" s="5" t="s">
        <v>102</v>
      </c>
      <c r="B155" s="6" t="s">
        <v>68</v>
      </c>
      <c r="C155" s="7">
        <v>18</v>
      </c>
      <c r="D155" s="6"/>
      <c r="E155" s="6">
        <f t="shared" si="7"/>
        <v>0</v>
      </c>
    </row>
    <row r="156" spans="1:5" x14ac:dyDescent="0.25">
      <c r="A156" s="5" t="s">
        <v>103</v>
      </c>
      <c r="B156" s="6" t="s">
        <v>68</v>
      </c>
      <c r="C156" s="7">
        <v>9</v>
      </c>
      <c r="D156" s="6"/>
      <c r="E156" s="6">
        <f t="shared" si="7"/>
        <v>0</v>
      </c>
    </row>
    <row r="157" spans="1:5" x14ac:dyDescent="0.25">
      <c r="A157" s="5" t="s">
        <v>104</v>
      </c>
      <c r="B157" s="6" t="s">
        <v>68</v>
      </c>
      <c r="C157" s="7">
        <v>18</v>
      </c>
      <c r="D157" s="6"/>
      <c r="E157" s="6">
        <f t="shared" si="7"/>
        <v>0</v>
      </c>
    </row>
    <row r="158" spans="1:5" x14ac:dyDescent="0.25">
      <c r="A158" s="5" t="s">
        <v>105</v>
      </c>
      <c r="B158" s="6" t="s">
        <v>68</v>
      </c>
      <c r="C158" s="7">
        <v>13</v>
      </c>
      <c r="D158" s="6"/>
      <c r="E158" s="6">
        <f t="shared" si="7"/>
        <v>0</v>
      </c>
    </row>
    <row r="159" spans="1:5" ht="50" x14ac:dyDescent="0.25">
      <c r="A159" s="5" t="s">
        <v>106</v>
      </c>
      <c r="B159" s="6" t="s">
        <v>68</v>
      </c>
      <c r="C159" s="7">
        <v>23</v>
      </c>
      <c r="D159" s="6"/>
      <c r="E159" s="6">
        <f t="shared" si="7"/>
        <v>0</v>
      </c>
    </row>
    <row r="160" spans="1:5" x14ac:dyDescent="0.25">
      <c r="A160" s="5" t="s">
        <v>107</v>
      </c>
      <c r="B160" s="6" t="s">
        <v>68</v>
      </c>
      <c r="C160" s="7">
        <v>17</v>
      </c>
      <c r="D160" s="6"/>
      <c r="E160" s="6">
        <f t="shared" si="7"/>
        <v>0</v>
      </c>
    </row>
    <row r="161" spans="1:5" ht="13" x14ac:dyDescent="0.25">
      <c r="A161" s="66" t="s">
        <v>108</v>
      </c>
      <c r="B161" s="67"/>
      <c r="C161" s="67"/>
      <c r="D161" s="68"/>
      <c r="E161" s="4">
        <f>SUM(E134:E160)</f>
        <v>0</v>
      </c>
    </row>
    <row r="162" spans="1:5" ht="13" x14ac:dyDescent="0.25">
      <c r="A162" s="76" t="s">
        <v>109</v>
      </c>
      <c r="B162" s="77"/>
      <c r="C162" s="77"/>
      <c r="D162" s="77"/>
      <c r="E162" s="78"/>
    </row>
    <row r="163" spans="1:5" ht="37.5" x14ac:dyDescent="0.25">
      <c r="A163" s="8" t="s">
        <v>110</v>
      </c>
      <c r="B163" s="9" t="s">
        <v>68</v>
      </c>
      <c r="C163" s="10">
        <v>1</v>
      </c>
      <c r="D163" s="9"/>
      <c r="E163" s="9">
        <f>D163</f>
        <v>0</v>
      </c>
    </row>
    <row r="164" spans="1:5" ht="25" x14ac:dyDescent="0.25">
      <c r="A164" s="8" t="s">
        <v>111</v>
      </c>
      <c r="B164" s="9" t="s">
        <v>5</v>
      </c>
      <c r="C164" s="10">
        <v>1</v>
      </c>
      <c r="D164" s="9"/>
      <c r="E164" s="9">
        <f>D164</f>
        <v>0</v>
      </c>
    </row>
    <row r="165" spans="1:5" x14ac:dyDescent="0.25">
      <c r="A165" s="5" t="s">
        <v>112</v>
      </c>
      <c r="B165" s="88" t="s">
        <v>81</v>
      </c>
      <c r="C165" s="91">
        <v>1</v>
      </c>
      <c r="D165" s="88"/>
      <c r="E165" s="94">
        <f>D165*C165</f>
        <v>0</v>
      </c>
    </row>
    <row r="166" spans="1:5" ht="25" x14ac:dyDescent="0.25">
      <c r="A166" s="5" t="s">
        <v>113</v>
      </c>
      <c r="B166" s="89"/>
      <c r="C166" s="92"/>
      <c r="D166" s="89"/>
      <c r="E166" s="94"/>
    </row>
    <row r="167" spans="1:5" ht="25" x14ac:dyDescent="0.25">
      <c r="A167" s="5" t="s">
        <v>114</v>
      </c>
      <c r="B167" s="89"/>
      <c r="C167" s="92"/>
      <c r="D167" s="89"/>
      <c r="E167" s="94"/>
    </row>
    <row r="168" spans="1:5" x14ac:dyDescent="0.25">
      <c r="A168" s="5" t="s">
        <v>115</v>
      </c>
      <c r="B168" s="89"/>
      <c r="C168" s="92"/>
      <c r="D168" s="89"/>
      <c r="E168" s="94"/>
    </row>
    <row r="169" spans="1:5" x14ac:dyDescent="0.25">
      <c r="A169" s="5" t="s">
        <v>116</v>
      </c>
      <c r="B169" s="89"/>
      <c r="C169" s="92"/>
      <c r="D169" s="89"/>
      <c r="E169" s="94"/>
    </row>
    <row r="170" spans="1:5" x14ac:dyDescent="0.25">
      <c r="A170" s="5" t="s">
        <v>117</v>
      </c>
      <c r="B170" s="89"/>
      <c r="C170" s="92"/>
      <c r="D170" s="89"/>
      <c r="E170" s="94"/>
    </row>
    <row r="171" spans="1:5" x14ac:dyDescent="0.25">
      <c r="A171" s="5" t="s">
        <v>118</v>
      </c>
      <c r="B171" s="89"/>
      <c r="C171" s="92"/>
      <c r="D171" s="89"/>
      <c r="E171" s="94"/>
    </row>
    <row r="172" spans="1:5" x14ac:dyDescent="0.25">
      <c r="A172" s="5" t="s">
        <v>119</v>
      </c>
      <c r="B172" s="89"/>
      <c r="C172" s="92"/>
      <c r="D172" s="89"/>
      <c r="E172" s="94"/>
    </row>
    <row r="173" spans="1:5" x14ac:dyDescent="0.25">
      <c r="A173" s="5" t="s">
        <v>120</v>
      </c>
      <c r="B173" s="89"/>
      <c r="C173" s="92"/>
      <c r="D173" s="89"/>
      <c r="E173" s="94"/>
    </row>
    <row r="174" spans="1:5" ht="25" x14ac:dyDescent="0.25">
      <c r="A174" s="5" t="s">
        <v>121</v>
      </c>
      <c r="B174" s="89"/>
      <c r="C174" s="92"/>
      <c r="D174" s="89"/>
      <c r="E174" s="94"/>
    </row>
    <row r="175" spans="1:5" ht="25" x14ac:dyDescent="0.25">
      <c r="A175" s="5" t="s">
        <v>122</v>
      </c>
      <c r="B175" s="90"/>
      <c r="C175" s="93"/>
      <c r="D175" s="90"/>
      <c r="E175" s="94"/>
    </row>
    <row r="176" spans="1:5" ht="13" x14ac:dyDescent="0.25">
      <c r="A176" s="95" t="s">
        <v>123</v>
      </c>
      <c r="B176" s="96"/>
      <c r="C176" s="96"/>
      <c r="D176" s="96"/>
      <c r="E176" s="97"/>
    </row>
    <row r="177" spans="1:5" ht="25" x14ac:dyDescent="0.25">
      <c r="A177" s="16" t="s">
        <v>124</v>
      </c>
      <c r="B177" s="9" t="s">
        <v>5</v>
      </c>
      <c r="C177" s="10">
        <v>1</v>
      </c>
      <c r="D177" s="9"/>
      <c r="E177" s="9">
        <f>D177*C177</f>
        <v>0</v>
      </c>
    </row>
    <row r="178" spans="1:5" ht="13" x14ac:dyDescent="0.25">
      <c r="A178" s="66" t="s">
        <v>125</v>
      </c>
      <c r="B178" s="67"/>
      <c r="C178" s="67"/>
      <c r="D178" s="68"/>
      <c r="E178" s="4">
        <f>SUM(E163:E175,E177)</f>
        <v>0</v>
      </c>
    </row>
    <row r="179" spans="1:5" ht="13" x14ac:dyDescent="0.25">
      <c r="A179" s="76" t="s">
        <v>126</v>
      </c>
      <c r="B179" s="77"/>
      <c r="C179" s="77"/>
      <c r="D179" s="77"/>
      <c r="E179" s="78"/>
    </row>
    <row r="180" spans="1:5" ht="50" x14ac:dyDescent="0.25">
      <c r="A180" s="8" t="s">
        <v>127</v>
      </c>
      <c r="B180" s="9" t="s">
        <v>128</v>
      </c>
      <c r="C180" s="10">
        <v>1</v>
      </c>
      <c r="D180" s="9"/>
      <c r="E180" s="9">
        <f>D180*C180</f>
        <v>0</v>
      </c>
    </row>
    <row r="181" spans="1:5" ht="37.5" x14ac:dyDescent="0.25">
      <c r="A181" s="8" t="s">
        <v>129</v>
      </c>
      <c r="B181" s="9" t="s">
        <v>128</v>
      </c>
      <c r="C181" s="10">
        <v>1</v>
      </c>
      <c r="D181" s="9"/>
      <c r="E181" s="9">
        <f>D181*C181</f>
        <v>0</v>
      </c>
    </row>
    <row r="182" spans="1:5" ht="25" x14ac:dyDescent="0.25">
      <c r="A182" s="8" t="s">
        <v>130</v>
      </c>
      <c r="B182" s="9" t="s">
        <v>128</v>
      </c>
      <c r="C182" s="10">
        <v>1</v>
      </c>
      <c r="D182" s="9"/>
      <c r="E182" s="9">
        <f>C182*D182</f>
        <v>0</v>
      </c>
    </row>
    <row r="183" spans="1:5" ht="13" x14ac:dyDescent="0.25">
      <c r="A183" s="66" t="s">
        <v>131</v>
      </c>
      <c r="B183" s="67"/>
      <c r="C183" s="67"/>
      <c r="D183" s="68"/>
      <c r="E183" s="4">
        <f>SUM(E180:E182)</f>
        <v>0</v>
      </c>
    </row>
    <row r="184" spans="1:5" ht="13" x14ac:dyDescent="0.25">
      <c r="A184" s="76" t="s">
        <v>132</v>
      </c>
      <c r="B184" s="77"/>
      <c r="C184" s="77"/>
      <c r="D184" s="77"/>
      <c r="E184" s="78"/>
    </row>
    <row r="185" spans="1:5" ht="25" x14ac:dyDescent="0.25">
      <c r="A185" s="8" t="s">
        <v>133</v>
      </c>
      <c r="B185" s="9" t="s">
        <v>68</v>
      </c>
      <c r="C185" s="10">
        <v>7</v>
      </c>
      <c r="D185" s="9"/>
      <c r="E185" s="9">
        <f>D185*C185</f>
        <v>0</v>
      </c>
    </row>
    <row r="186" spans="1:5" ht="37.5" x14ac:dyDescent="0.25">
      <c r="A186" s="8" t="s">
        <v>187</v>
      </c>
      <c r="B186" s="9" t="s">
        <v>68</v>
      </c>
      <c r="C186" s="10">
        <v>14</v>
      </c>
      <c r="D186" s="9"/>
      <c r="E186" s="9">
        <f>D186*C186</f>
        <v>0</v>
      </c>
    </row>
    <row r="187" spans="1:5" ht="25" x14ac:dyDescent="0.25">
      <c r="A187" s="5" t="s">
        <v>134</v>
      </c>
      <c r="B187" s="6" t="s">
        <v>68</v>
      </c>
      <c r="C187" s="7">
        <v>5</v>
      </c>
      <c r="D187" s="6"/>
      <c r="E187" s="6">
        <f>D187*C187</f>
        <v>0</v>
      </c>
    </row>
    <row r="188" spans="1:5" ht="37.5" x14ac:dyDescent="0.25">
      <c r="A188" s="5" t="s">
        <v>135</v>
      </c>
      <c r="B188" s="6" t="s">
        <v>81</v>
      </c>
      <c r="C188" s="7">
        <v>1</v>
      </c>
      <c r="D188" s="6"/>
      <c r="E188" s="6">
        <f>D188*C188</f>
        <v>0</v>
      </c>
    </row>
    <row r="189" spans="1:5" ht="13" x14ac:dyDescent="0.25">
      <c r="A189" s="66" t="s">
        <v>136</v>
      </c>
      <c r="B189" s="67"/>
      <c r="C189" s="67"/>
      <c r="D189" s="68"/>
      <c r="E189" s="4">
        <f>SUM(E185:E188)</f>
        <v>0</v>
      </c>
    </row>
    <row r="190" spans="1:5" ht="13" x14ac:dyDescent="0.25">
      <c r="A190" s="85" t="s">
        <v>137</v>
      </c>
      <c r="B190" s="86"/>
      <c r="C190" s="86"/>
      <c r="D190" s="87"/>
      <c r="E190" s="12">
        <f>E189+E183+E178+E161+E132</f>
        <v>0</v>
      </c>
    </row>
    <row r="191" spans="1:5" ht="13" x14ac:dyDescent="0.25">
      <c r="A191" s="76" t="s">
        <v>138</v>
      </c>
      <c r="B191" s="77"/>
      <c r="C191" s="77"/>
      <c r="D191" s="77"/>
      <c r="E191" s="78"/>
    </row>
    <row r="192" spans="1:5" ht="13" x14ac:dyDescent="0.25">
      <c r="A192" s="66" t="s">
        <v>292</v>
      </c>
      <c r="B192" s="67"/>
      <c r="C192" s="67"/>
      <c r="D192" s="67"/>
      <c r="E192" s="68"/>
    </row>
    <row r="193" spans="1:5" ht="50" x14ac:dyDescent="0.25">
      <c r="A193" s="5" t="s">
        <v>140</v>
      </c>
      <c r="B193" s="6" t="s">
        <v>5</v>
      </c>
      <c r="C193" s="7">
        <v>1</v>
      </c>
      <c r="D193" s="6"/>
      <c r="E193" s="6">
        <f>+D193*C193</f>
        <v>0</v>
      </c>
    </row>
    <row r="194" spans="1:5" ht="13" x14ac:dyDescent="0.25">
      <c r="A194" s="66" t="s">
        <v>141</v>
      </c>
      <c r="B194" s="67"/>
      <c r="C194" s="67"/>
      <c r="D194" s="67"/>
      <c r="E194" s="68"/>
    </row>
    <row r="195" spans="1:5" x14ac:dyDescent="0.25">
      <c r="A195" s="5" t="s">
        <v>142</v>
      </c>
      <c r="B195" s="6" t="s">
        <v>68</v>
      </c>
      <c r="C195" s="7">
        <v>11</v>
      </c>
      <c r="D195" s="6"/>
      <c r="E195" s="6">
        <f>D195*C195</f>
        <v>0</v>
      </c>
    </row>
    <row r="196" spans="1:5" x14ac:dyDescent="0.25">
      <c r="A196" s="8" t="s">
        <v>143</v>
      </c>
      <c r="B196" s="9" t="s">
        <v>68</v>
      </c>
      <c r="C196" s="10">
        <v>1</v>
      </c>
      <c r="D196" s="9"/>
      <c r="E196" s="6">
        <f t="shared" ref="E196:E208" si="8">D196*C196</f>
        <v>0</v>
      </c>
    </row>
    <row r="197" spans="1:5" x14ac:dyDescent="0.25">
      <c r="A197" s="5" t="s">
        <v>144</v>
      </c>
      <c r="B197" s="6" t="s">
        <v>68</v>
      </c>
      <c r="C197" s="7">
        <v>12</v>
      </c>
      <c r="D197" s="6"/>
      <c r="E197" s="6">
        <f t="shared" si="8"/>
        <v>0</v>
      </c>
    </row>
    <row r="198" spans="1:5" x14ac:dyDescent="0.25">
      <c r="A198" s="5" t="s">
        <v>145</v>
      </c>
      <c r="B198" s="6" t="s">
        <v>68</v>
      </c>
      <c r="C198" s="7">
        <v>11</v>
      </c>
      <c r="D198" s="6"/>
      <c r="E198" s="6">
        <f t="shared" si="8"/>
        <v>0</v>
      </c>
    </row>
    <row r="199" spans="1:5" x14ac:dyDescent="0.25">
      <c r="A199" s="5" t="s">
        <v>146</v>
      </c>
      <c r="B199" s="6" t="s">
        <v>68</v>
      </c>
      <c r="C199" s="7">
        <v>14</v>
      </c>
      <c r="D199" s="6"/>
      <c r="E199" s="6">
        <f t="shared" si="8"/>
        <v>0</v>
      </c>
    </row>
    <row r="200" spans="1:5" x14ac:dyDescent="0.25">
      <c r="A200" s="5" t="s">
        <v>147</v>
      </c>
      <c r="B200" s="6" t="s">
        <v>68</v>
      </c>
      <c r="C200" s="7">
        <v>11</v>
      </c>
      <c r="D200" s="6"/>
      <c r="E200" s="6">
        <f t="shared" si="8"/>
        <v>0</v>
      </c>
    </row>
    <row r="201" spans="1:5" x14ac:dyDescent="0.25">
      <c r="A201" s="5" t="s">
        <v>148</v>
      </c>
      <c r="B201" s="6" t="s">
        <v>68</v>
      </c>
      <c r="C201" s="7">
        <v>12</v>
      </c>
      <c r="D201" s="6"/>
      <c r="E201" s="6">
        <f t="shared" si="8"/>
        <v>0</v>
      </c>
    </row>
    <row r="202" spans="1:5" x14ac:dyDescent="0.25">
      <c r="A202" s="5" t="s">
        <v>149</v>
      </c>
      <c r="B202" s="6" t="s">
        <v>68</v>
      </c>
      <c r="C202" s="7">
        <v>4</v>
      </c>
      <c r="D202" s="6"/>
      <c r="E202" s="6">
        <f t="shared" si="8"/>
        <v>0</v>
      </c>
    </row>
    <row r="203" spans="1:5" x14ac:dyDescent="0.25">
      <c r="A203" s="5" t="s">
        <v>150</v>
      </c>
      <c r="B203" s="6" t="s">
        <v>68</v>
      </c>
      <c r="C203" s="7">
        <v>6</v>
      </c>
      <c r="D203" s="6"/>
      <c r="E203" s="6">
        <f t="shared" si="8"/>
        <v>0</v>
      </c>
    </row>
    <row r="204" spans="1:5" x14ac:dyDescent="0.25">
      <c r="A204" s="5" t="s">
        <v>151</v>
      </c>
      <c r="B204" s="6" t="s">
        <v>68</v>
      </c>
      <c r="C204" s="7">
        <v>5</v>
      </c>
      <c r="D204" s="6"/>
      <c r="E204" s="6">
        <f t="shared" si="8"/>
        <v>0</v>
      </c>
    </row>
    <row r="205" spans="1:5" x14ac:dyDescent="0.25">
      <c r="A205" s="8" t="s">
        <v>152</v>
      </c>
      <c r="B205" s="9" t="s">
        <v>48</v>
      </c>
      <c r="C205" s="17">
        <v>50</v>
      </c>
      <c r="D205" s="6"/>
      <c r="E205" s="6">
        <f t="shared" si="8"/>
        <v>0</v>
      </c>
    </row>
    <row r="206" spans="1:5" x14ac:dyDescent="0.25">
      <c r="A206" s="8" t="s">
        <v>153</v>
      </c>
      <c r="B206" s="9" t="s">
        <v>48</v>
      </c>
      <c r="C206" s="17">
        <v>100</v>
      </c>
      <c r="D206" s="6"/>
      <c r="E206" s="6">
        <f t="shared" si="8"/>
        <v>0</v>
      </c>
    </row>
    <row r="207" spans="1:5" ht="25" x14ac:dyDescent="0.25">
      <c r="A207" s="8" t="s">
        <v>154</v>
      </c>
      <c r="B207" s="9" t="s">
        <v>155</v>
      </c>
      <c r="C207" s="17">
        <v>1</v>
      </c>
      <c r="D207" s="6"/>
      <c r="E207" s="6">
        <f t="shared" si="8"/>
        <v>0</v>
      </c>
    </row>
    <row r="208" spans="1:5" ht="37.5" x14ac:dyDescent="0.25">
      <c r="A208" s="5" t="s">
        <v>156</v>
      </c>
      <c r="B208" s="6" t="s">
        <v>5</v>
      </c>
      <c r="C208" s="7">
        <v>1</v>
      </c>
      <c r="D208" s="6"/>
      <c r="E208" s="6">
        <f t="shared" si="8"/>
        <v>0</v>
      </c>
    </row>
    <row r="209" spans="1:5" ht="25" x14ac:dyDescent="0.25">
      <c r="A209" s="5" t="s">
        <v>157</v>
      </c>
      <c r="B209" s="6" t="s">
        <v>5</v>
      </c>
      <c r="C209" s="7">
        <v>2</v>
      </c>
      <c r="D209" s="6"/>
      <c r="E209" s="6">
        <f>D209*C209</f>
        <v>0</v>
      </c>
    </row>
    <row r="210" spans="1:5" ht="25" x14ac:dyDescent="0.25">
      <c r="A210" s="5" t="s">
        <v>158</v>
      </c>
      <c r="B210" s="6" t="s">
        <v>68</v>
      </c>
      <c r="C210" s="7">
        <v>8</v>
      </c>
      <c r="D210" s="6"/>
      <c r="E210" s="6">
        <f>C210*D210</f>
        <v>0</v>
      </c>
    </row>
    <row r="211" spans="1:5" ht="25" x14ac:dyDescent="0.25">
      <c r="A211" s="5" t="s">
        <v>159</v>
      </c>
      <c r="B211" s="6" t="s">
        <v>5</v>
      </c>
      <c r="C211" s="7">
        <v>1</v>
      </c>
      <c r="D211" s="6"/>
      <c r="E211" s="6">
        <f>D211*C211</f>
        <v>0</v>
      </c>
    </row>
    <row r="212" spans="1:5" ht="25" x14ac:dyDescent="0.25">
      <c r="A212" s="8" t="s">
        <v>182</v>
      </c>
      <c r="B212" s="9" t="s">
        <v>5</v>
      </c>
      <c r="C212" s="10">
        <v>1</v>
      </c>
      <c r="D212" s="9"/>
      <c r="E212" s="9">
        <f>D212*C212</f>
        <v>0</v>
      </c>
    </row>
    <row r="213" spans="1:5" ht="13" x14ac:dyDescent="0.25">
      <c r="A213" s="32" t="s">
        <v>160</v>
      </c>
      <c r="B213" s="33"/>
      <c r="C213" s="34"/>
      <c r="D213" s="33"/>
      <c r="E213" s="12">
        <f>SUM(E193:E212)</f>
        <v>0</v>
      </c>
    </row>
    <row r="214" spans="1:5" ht="13" x14ac:dyDescent="0.25">
      <c r="A214" s="69" t="s">
        <v>294</v>
      </c>
      <c r="B214" s="70"/>
      <c r="C214" s="70"/>
      <c r="D214" s="71"/>
      <c r="E214" s="14">
        <f>E213+E190+E129+E96</f>
        <v>0</v>
      </c>
    </row>
    <row r="215" spans="1:5" x14ac:dyDescent="0.25">
      <c r="C215" s="1"/>
    </row>
    <row r="216" spans="1:5" s="18" customFormat="1" ht="13" x14ac:dyDescent="0.35">
      <c r="A216" s="69" t="s">
        <v>165</v>
      </c>
      <c r="B216" s="70"/>
      <c r="C216" s="70"/>
      <c r="D216" s="70"/>
      <c r="E216" s="71"/>
    </row>
    <row r="217" spans="1:5" s="18" customFormat="1" ht="13" x14ac:dyDescent="0.35">
      <c r="A217" s="74" t="s">
        <v>166</v>
      </c>
      <c r="B217" s="75"/>
      <c r="C217" s="19"/>
      <c r="D217" s="20"/>
      <c r="E217" s="20"/>
    </row>
    <row r="218" spans="1:5" s="18" customFormat="1" ht="88" x14ac:dyDescent="0.35">
      <c r="A218" s="8" t="s">
        <v>286</v>
      </c>
      <c r="B218" s="9" t="s">
        <v>5</v>
      </c>
      <c r="C218" s="17">
        <v>1</v>
      </c>
      <c r="D218" s="8"/>
      <c r="E218" s="9">
        <f>D218*C218</f>
        <v>0</v>
      </c>
    </row>
    <row r="219" spans="1:5" s="21" customFormat="1" ht="63" x14ac:dyDescent="0.35">
      <c r="A219" s="8" t="s">
        <v>287</v>
      </c>
      <c r="B219" s="9" t="s">
        <v>5</v>
      </c>
      <c r="C219" s="17">
        <v>1</v>
      </c>
      <c r="D219" s="8"/>
      <c r="E219" s="9">
        <f>D219*C219</f>
        <v>0</v>
      </c>
    </row>
    <row r="220" spans="1:5" s="18" customFormat="1" ht="75.5" x14ac:dyDescent="0.35">
      <c r="A220" s="8" t="s">
        <v>167</v>
      </c>
      <c r="B220" s="9" t="s">
        <v>5</v>
      </c>
      <c r="C220" s="17">
        <v>1</v>
      </c>
      <c r="D220" s="8"/>
      <c r="E220" s="9">
        <f>D220*C220</f>
        <v>0</v>
      </c>
    </row>
    <row r="221" spans="1:5" s="18" customFormat="1" ht="13" x14ac:dyDescent="0.35">
      <c r="A221" s="37" t="s">
        <v>168</v>
      </c>
      <c r="B221" s="9"/>
      <c r="C221" s="17"/>
      <c r="D221" s="8"/>
      <c r="E221" s="9"/>
    </row>
    <row r="222" spans="1:5" s="18" customFormat="1" ht="25" x14ac:dyDescent="0.35">
      <c r="A222" s="8" t="s">
        <v>169</v>
      </c>
      <c r="B222" s="9" t="s">
        <v>68</v>
      </c>
      <c r="C222" s="17">
        <v>4</v>
      </c>
      <c r="D222" s="141"/>
      <c r="E222" s="9">
        <f>D222*C222</f>
        <v>0</v>
      </c>
    </row>
    <row r="223" spans="1:5" s="18" customFormat="1" ht="62.5" x14ac:dyDescent="0.35">
      <c r="A223" s="8" t="s">
        <v>170</v>
      </c>
      <c r="B223" s="9" t="s">
        <v>5</v>
      </c>
      <c r="C223" s="17">
        <v>1</v>
      </c>
      <c r="D223" s="141"/>
      <c r="E223" s="9">
        <f>D223*C223</f>
        <v>0</v>
      </c>
    </row>
    <row r="224" spans="1:5" s="18" customFormat="1" ht="25" x14ac:dyDescent="0.35">
      <c r="A224" s="8" t="s">
        <v>171</v>
      </c>
      <c r="B224" s="9" t="s">
        <v>68</v>
      </c>
      <c r="C224" s="17">
        <v>4</v>
      </c>
      <c r="D224" s="141"/>
      <c r="E224" s="9">
        <f>D224*C224</f>
        <v>0</v>
      </c>
    </row>
    <row r="225" spans="1:5" s="18" customFormat="1" ht="37.5" x14ac:dyDescent="0.35">
      <c r="A225" s="8" t="s">
        <v>172</v>
      </c>
      <c r="B225" s="9" t="s">
        <v>5</v>
      </c>
      <c r="C225" s="17">
        <v>1</v>
      </c>
      <c r="D225" s="141"/>
      <c r="E225" s="9">
        <f>D225*C225</f>
        <v>0</v>
      </c>
    </row>
    <row r="226" spans="1:5" s="18" customFormat="1" ht="50" x14ac:dyDescent="0.35">
      <c r="A226" s="8" t="s">
        <v>173</v>
      </c>
      <c r="B226" s="9" t="s">
        <v>5</v>
      </c>
      <c r="C226" s="17">
        <v>1</v>
      </c>
      <c r="D226" s="141"/>
      <c r="E226" s="9">
        <f>D226*C226</f>
        <v>0</v>
      </c>
    </row>
    <row r="227" spans="1:5" s="18" customFormat="1" ht="13" x14ac:dyDescent="0.35">
      <c r="A227" s="37" t="s">
        <v>174</v>
      </c>
      <c r="B227" s="9"/>
      <c r="C227" s="17"/>
      <c r="D227" s="8"/>
      <c r="E227" s="8"/>
    </row>
    <row r="228" spans="1:5" s="18" customFormat="1" x14ac:dyDescent="0.35">
      <c r="A228" s="8" t="s">
        <v>188</v>
      </c>
      <c r="B228" s="72" t="s">
        <v>81</v>
      </c>
      <c r="C228" s="79">
        <v>1</v>
      </c>
      <c r="D228" s="72"/>
      <c r="E228" s="72">
        <f>D228*C228</f>
        <v>0</v>
      </c>
    </row>
    <row r="229" spans="1:5" s="18" customFormat="1" x14ac:dyDescent="0.35">
      <c r="A229" s="8" t="s">
        <v>189</v>
      </c>
      <c r="B229" s="73"/>
      <c r="C229" s="80"/>
      <c r="D229" s="73"/>
      <c r="E229" s="73"/>
    </row>
    <row r="230" spans="1:5" s="18" customFormat="1" x14ac:dyDescent="0.35">
      <c r="A230" s="8" t="s">
        <v>190</v>
      </c>
      <c r="B230" s="73"/>
      <c r="C230" s="80"/>
      <c r="D230" s="73"/>
      <c r="E230" s="73"/>
    </row>
    <row r="231" spans="1:5" s="18" customFormat="1" ht="13" x14ac:dyDescent="0.35">
      <c r="A231" s="37" t="s">
        <v>175</v>
      </c>
      <c r="B231" s="9"/>
      <c r="C231" s="17"/>
      <c r="D231" s="8"/>
      <c r="E231" s="8"/>
    </row>
    <row r="232" spans="1:5" s="21" customFormat="1" ht="25" x14ac:dyDescent="0.35">
      <c r="A232" s="8" t="s">
        <v>176</v>
      </c>
      <c r="B232" s="9" t="s">
        <v>68</v>
      </c>
      <c r="C232" s="10">
        <v>25</v>
      </c>
      <c r="D232" s="9"/>
      <c r="E232" s="9">
        <f>D232*C232</f>
        <v>0</v>
      </c>
    </row>
    <row r="233" spans="1:5" s="21" customFormat="1" ht="25" x14ac:dyDescent="0.35">
      <c r="A233" s="8" t="s">
        <v>177</v>
      </c>
      <c r="B233" s="9" t="s">
        <v>68</v>
      </c>
      <c r="C233" s="10">
        <v>25</v>
      </c>
      <c r="D233" s="9"/>
      <c r="E233" s="9">
        <f>D233*C233</f>
        <v>0</v>
      </c>
    </row>
    <row r="234" spans="1:5" s="21" customFormat="1" ht="25" x14ac:dyDescent="0.35">
      <c r="A234" s="8" t="s">
        <v>178</v>
      </c>
      <c r="B234" s="20" t="s">
        <v>68</v>
      </c>
      <c r="C234" s="19">
        <v>2</v>
      </c>
      <c r="D234" s="20"/>
      <c r="E234" s="20">
        <f>D234*C234</f>
        <v>0</v>
      </c>
    </row>
    <row r="235" spans="1:5" s="18" customFormat="1" ht="13" x14ac:dyDescent="0.35">
      <c r="A235" s="37" t="s">
        <v>179</v>
      </c>
      <c r="B235" s="9"/>
      <c r="C235" s="17"/>
      <c r="D235" s="8"/>
      <c r="E235" s="20"/>
    </row>
    <row r="236" spans="1:5" s="18" customFormat="1" x14ac:dyDescent="0.35">
      <c r="A236" s="8" t="s">
        <v>180</v>
      </c>
      <c r="B236" s="9" t="s">
        <v>5</v>
      </c>
      <c r="C236" s="17">
        <v>1</v>
      </c>
      <c r="D236" s="20"/>
      <c r="E236" s="9">
        <f>C236*D236</f>
        <v>0</v>
      </c>
    </row>
    <row r="237" spans="1:5" s="18" customFormat="1" ht="13" x14ac:dyDescent="0.35">
      <c r="A237" s="81" t="s">
        <v>181</v>
      </c>
      <c r="B237" s="81"/>
      <c r="C237" s="81"/>
      <c r="D237" s="81"/>
      <c r="E237" s="14">
        <f>SUM(E218:E236)</f>
        <v>0</v>
      </c>
    </row>
    <row r="238" spans="1:5" x14ac:dyDescent="0.25">
      <c r="A238" s="38"/>
      <c r="C238" s="39"/>
      <c r="E238" s="40"/>
    </row>
    <row r="239" spans="1:5" ht="13" x14ac:dyDescent="0.25">
      <c r="A239" s="69" t="s">
        <v>162</v>
      </c>
      <c r="B239" s="70"/>
      <c r="C239" s="70"/>
      <c r="D239" s="70"/>
      <c r="E239" s="71"/>
    </row>
    <row r="240" spans="1:5" ht="13" x14ac:dyDescent="0.25">
      <c r="A240" s="2" t="s">
        <v>0</v>
      </c>
      <c r="B240" s="3" t="s">
        <v>1</v>
      </c>
      <c r="C240" s="41" t="s">
        <v>2</v>
      </c>
      <c r="D240" s="3" t="s">
        <v>163</v>
      </c>
      <c r="E240" s="3" t="s">
        <v>3</v>
      </c>
    </row>
    <row r="241" spans="1:5" s="15" customFormat="1" ht="25" x14ac:dyDescent="0.25">
      <c r="A241" s="27" t="s">
        <v>191</v>
      </c>
      <c r="B241" s="28" t="s">
        <v>68</v>
      </c>
      <c r="C241" s="19">
        <v>21</v>
      </c>
      <c r="D241" s="28"/>
      <c r="E241" s="28">
        <f>+D241*C241</f>
        <v>0</v>
      </c>
    </row>
    <row r="242" spans="1:5" s="15" customFormat="1" ht="25" x14ac:dyDescent="0.25">
      <c r="A242" s="25" t="s">
        <v>193</v>
      </c>
      <c r="B242" s="26" t="s">
        <v>68</v>
      </c>
      <c r="C242" s="10">
        <v>5</v>
      </c>
      <c r="D242" s="26"/>
      <c r="E242" s="26">
        <f>D242*C242</f>
        <v>0</v>
      </c>
    </row>
    <row r="243" spans="1:5" s="15" customFormat="1" ht="25" x14ac:dyDescent="0.25">
      <c r="A243" s="25" t="s">
        <v>164</v>
      </c>
      <c r="B243" s="26" t="s">
        <v>68</v>
      </c>
      <c r="C243" s="10">
        <v>2</v>
      </c>
      <c r="D243" s="26"/>
      <c r="E243" s="26">
        <f>D243*C243</f>
        <v>0</v>
      </c>
    </row>
    <row r="244" spans="1:5" ht="13.5" customHeight="1" x14ac:dyDescent="0.25">
      <c r="A244" s="81"/>
      <c r="B244" s="81"/>
      <c r="C244" s="81"/>
      <c r="D244" s="81"/>
      <c r="E244" s="14">
        <f>SUM(E241:E243)</f>
        <v>0</v>
      </c>
    </row>
    <row r="245" spans="1:5" ht="13" x14ac:dyDescent="0.25">
      <c r="A245" s="22"/>
      <c r="B245" s="36"/>
      <c r="C245" s="23"/>
      <c r="D245" s="24"/>
      <c r="E245" s="29"/>
    </row>
    <row r="246" spans="1:5" ht="13" x14ac:dyDescent="0.3">
      <c r="A246" s="82" t="s">
        <v>295</v>
      </c>
      <c r="B246" s="83"/>
      <c r="C246" s="83"/>
      <c r="D246" s="84"/>
      <c r="E246" s="30">
        <f>E244+E237+E214+E71+E9</f>
        <v>0</v>
      </c>
    </row>
  </sheetData>
  <mergeCells count="82">
    <mergeCell ref="A1:E1"/>
    <mergeCell ref="A50:D50"/>
    <mergeCell ref="A51:D51"/>
    <mergeCell ref="A30:D30"/>
    <mergeCell ref="A31:E31"/>
    <mergeCell ref="A41:D41"/>
    <mergeCell ref="A42:E42"/>
    <mergeCell ref="A44:D44"/>
    <mergeCell ref="A2:E2"/>
    <mergeCell ref="A45:E45"/>
    <mergeCell ref="A11:E11"/>
    <mergeCell ref="A12:E12"/>
    <mergeCell ref="A18:D18"/>
    <mergeCell ref="A19:E19"/>
    <mergeCell ref="A26:D26"/>
    <mergeCell ref="A27:E27"/>
    <mergeCell ref="A5:E5"/>
    <mergeCell ref="A9:D9"/>
    <mergeCell ref="A71:D71"/>
    <mergeCell ref="A52:E52"/>
    <mergeCell ref="A60:D60"/>
    <mergeCell ref="A61:E61"/>
    <mergeCell ref="A63:D63"/>
    <mergeCell ref="A64:E64"/>
    <mergeCell ref="A69:D69"/>
    <mergeCell ref="A70:D70"/>
    <mergeCell ref="A115:E115"/>
    <mergeCell ref="A73:E73"/>
    <mergeCell ref="A74:E74"/>
    <mergeCell ref="A75:E75"/>
    <mergeCell ref="A98:E98"/>
    <mergeCell ref="A99:E99"/>
    <mergeCell ref="A83:D83"/>
    <mergeCell ref="A84:E84"/>
    <mergeCell ref="A85:E85"/>
    <mergeCell ref="A91:D91"/>
    <mergeCell ref="A92:E92"/>
    <mergeCell ref="A95:D95"/>
    <mergeCell ref="A96:D96"/>
    <mergeCell ref="A97:E97"/>
    <mergeCell ref="A189:D189"/>
    <mergeCell ref="A109:D109"/>
    <mergeCell ref="A161:D161"/>
    <mergeCell ref="A162:E162"/>
    <mergeCell ref="A120:E120"/>
    <mergeCell ref="A125:D125"/>
    <mergeCell ref="A128:D128"/>
    <mergeCell ref="A129:D129"/>
    <mergeCell ref="A130:E130"/>
    <mergeCell ref="A118:E118"/>
    <mergeCell ref="A133:E133"/>
    <mergeCell ref="A137:E137"/>
    <mergeCell ref="A119:E119"/>
    <mergeCell ref="A110:E110"/>
    <mergeCell ref="A112:E112"/>
    <mergeCell ref="A114:D114"/>
    <mergeCell ref="A176:E176"/>
    <mergeCell ref="A178:D178"/>
    <mergeCell ref="A179:E179"/>
    <mergeCell ref="A183:D183"/>
    <mergeCell ref="A184:E184"/>
    <mergeCell ref="A237:D237"/>
    <mergeCell ref="A239:E239"/>
    <mergeCell ref="A244:D244"/>
    <mergeCell ref="A246:D246"/>
    <mergeCell ref="A190:D190"/>
    <mergeCell ref="A117:D117"/>
    <mergeCell ref="A132:D132"/>
    <mergeCell ref="A214:D214"/>
    <mergeCell ref="E228:E230"/>
    <mergeCell ref="A216:E216"/>
    <mergeCell ref="A217:B217"/>
    <mergeCell ref="A191:E191"/>
    <mergeCell ref="A192:E192"/>
    <mergeCell ref="A194:E194"/>
    <mergeCell ref="B228:B230"/>
    <mergeCell ref="C228:C230"/>
    <mergeCell ref="D228:D230"/>
    <mergeCell ref="B165:B175"/>
    <mergeCell ref="C165:C175"/>
    <mergeCell ref="D165:D175"/>
    <mergeCell ref="E165:E175"/>
  </mergeCells>
  <phoneticPr fontId="1" type="noConversion"/>
  <pageMargins left="0.7" right="0.7" top="0.75" bottom="0.75" header="0.3" footer="0.3"/>
  <pageSetup paperSize="9" scale="81" orientation="portrait" r:id="rId1"/>
  <rowBreaks count="1" manualBreakCount="1">
    <brk id="20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E118"/>
  <sheetViews>
    <sheetView zoomScale="70" zoomScaleNormal="70" workbookViewId="0">
      <selection activeCell="D6" sqref="D6"/>
    </sheetView>
  </sheetViews>
  <sheetFormatPr baseColWidth="10" defaultRowHeight="12.5" x14ac:dyDescent="0.25"/>
  <cols>
    <col min="1" max="1" width="56.453125" style="1" customWidth="1"/>
    <col min="2" max="2" width="4.81640625" style="1" customWidth="1"/>
    <col min="3" max="3" width="9.08984375" style="31" bestFit="1" customWidth="1"/>
    <col min="4" max="4" width="13.81640625" style="1" customWidth="1"/>
    <col min="5" max="5" width="18.81640625" style="1" customWidth="1"/>
    <col min="6" max="16384" width="10.90625" style="1"/>
  </cols>
  <sheetData>
    <row r="1" spans="1:5" ht="13" customHeight="1" x14ac:dyDescent="0.25">
      <c r="A1" s="110" t="s">
        <v>300</v>
      </c>
      <c r="B1" s="111"/>
      <c r="C1" s="111"/>
      <c r="D1" s="111"/>
      <c r="E1" s="112"/>
    </row>
    <row r="2" spans="1:5" ht="13" x14ac:dyDescent="0.25">
      <c r="A2" s="99"/>
      <c r="B2" s="99"/>
      <c r="C2" s="99"/>
      <c r="D2" s="99"/>
      <c r="E2" s="99"/>
    </row>
    <row r="3" spans="1:5" ht="13" x14ac:dyDescent="0.25">
      <c r="A3" s="2" t="s">
        <v>0</v>
      </c>
      <c r="B3" s="3" t="s">
        <v>1</v>
      </c>
      <c r="C3" s="41" t="s">
        <v>283</v>
      </c>
      <c r="D3" s="3" t="s">
        <v>281</v>
      </c>
      <c r="E3" s="4" t="s">
        <v>282</v>
      </c>
    </row>
    <row r="4" spans="1:5" x14ac:dyDescent="0.25">
      <c r="C4" s="1"/>
    </row>
    <row r="5" spans="1:5" ht="13" x14ac:dyDescent="0.25">
      <c r="A5" s="69" t="s">
        <v>219</v>
      </c>
      <c r="B5" s="70"/>
      <c r="C5" s="70"/>
      <c r="D5" s="70"/>
      <c r="E5" s="71"/>
    </row>
    <row r="6" spans="1:5" ht="25" x14ac:dyDescent="0.25">
      <c r="A6" s="8" t="s">
        <v>296</v>
      </c>
      <c r="B6" s="9" t="s">
        <v>6</v>
      </c>
      <c r="C6" s="10">
        <v>1</v>
      </c>
      <c r="D6" s="9"/>
      <c r="E6" s="9">
        <f>D6*C6</f>
        <v>0</v>
      </c>
    </row>
    <row r="7" spans="1:5" ht="13" x14ac:dyDescent="0.25">
      <c r="A7" s="69" t="s">
        <v>297</v>
      </c>
      <c r="B7" s="70"/>
      <c r="C7" s="70"/>
      <c r="D7" s="71"/>
      <c r="E7" s="14">
        <f>E6</f>
        <v>0</v>
      </c>
    </row>
    <row r="8" spans="1:5" x14ac:dyDescent="0.25">
      <c r="C8" s="1"/>
    </row>
    <row r="9" spans="1:5" ht="13" x14ac:dyDescent="0.25">
      <c r="A9" s="69" t="s">
        <v>8</v>
      </c>
      <c r="B9" s="70"/>
      <c r="C9" s="70"/>
      <c r="D9" s="70"/>
      <c r="E9" s="71"/>
    </row>
    <row r="10" spans="1:5" ht="13" x14ac:dyDescent="0.25">
      <c r="A10" s="76" t="s">
        <v>9</v>
      </c>
      <c r="B10" s="77"/>
      <c r="C10" s="77"/>
      <c r="D10" s="77"/>
      <c r="E10" s="78"/>
    </row>
    <row r="11" spans="1:5" x14ac:dyDescent="0.25">
      <c r="A11" s="5" t="s">
        <v>10</v>
      </c>
      <c r="B11" s="6" t="s">
        <v>11</v>
      </c>
      <c r="C11" s="7">
        <f>1*1*0.8*10</f>
        <v>8</v>
      </c>
      <c r="D11" s="6"/>
      <c r="E11" s="6">
        <f>C11*D11</f>
        <v>0</v>
      </c>
    </row>
    <row r="12" spans="1:5" x14ac:dyDescent="0.25">
      <c r="A12" s="5" t="s">
        <v>12</v>
      </c>
      <c r="B12" s="6" t="s">
        <v>11</v>
      </c>
      <c r="C12" s="7">
        <f>12*0.6*0.8</f>
        <v>5.76</v>
      </c>
      <c r="D12" s="6"/>
      <c r="E12" s="6">
        <f>C12*D12</f>
        <v>0</v>
      </c>
    </row>
    <row r="13" spans="1:5" x14ac:dyDescent="0.25">
      <c r="A13" s="5" t="s">
        <v>13</v>
      </c>
      <c r="B13" s="6" t="s">
        <v>11</v>
      </c>
      <c r="C13" s="7">
        <f>C12+C11</f>
        <v>13.76</v>
      </c>
      <c r="D13" s="6"/>
      <c r="E13" s="6">
        <f>C13*D13</f>
        <v>0</v>
      </c>
    </row>
    <row r="14" spans="1:5" ht="25" x14ac:dyDescent="0.25">
      <c r="A14" s="5" t="s">
        <v>14</v>
      </c>
      <c r="B14" s="6" t="s">
        <v>11</v>
      </c>
      <c r="C14" s="7">
        <v>8.32</v>
      </c>
      <c r="D14" s="6"/>
      <c r="E14" s="6">
        <f>C14*D14</f>
        <v>0</v>
      </c>
    </row>
    <row r="15" spans="1:5" ht="13" x14ac:dyDescent="0.25">
      <c r="A15" s="66" t="s">
        <v>16</v>
      </c>
      <c r="B15" s="67"/>
      <c r="C15" s="67"/>
      <c r="D15" s="68"/>
      <c r="E15" s="4">
        <f>SUM(E11:E14)</f>
        <v>0</v>
      </c>
    </row>
    <row r="16" spans="1:5" ht="13" x14ac:dyDescent="0.25">
      <c r="A16" s="76" t="s">
        <v>17</v>
      </c>
      <c r="B16" s="77"/>
      <c r="C16" s="77"/>
      <c r="D16" s="77"/>
      <c r="E16" s="78"/>
    </row>
    <row r="17" spans="1:5" x14ac:dyDescent="0.25">
      <c r="A17" s="5" t="s">
        <v>18</v>
      </c>
      <c r="B17" s="6" t="s">
        <v>11</v>
      </c>
      <c r="C17" s="7">
        <f>0.6*0.6*0.05*14*1.1</f>
        <v>0.2772</v>
      </c>
      <c r="D17" s="6"/>
      <c r="E17" s="6">
        <f t="shared" ref="E17:E18" si="0">C17*D17</f>
        <v>0</v>
      </c>
    </row>
    <row r="18" spans="1:5" x14ac:dyDescent="0.25">
      <c r="A18" s="5" t="s">
        <v>19</v>
      </c>
      <c r="B18" s="6" t="s">
        <v>11</v>
      </c>
      <c r="C18" s="7">
        <f>33*0.3*0.05</f>
        <v>0.49500000000000005</v>
      </c>
      <c r="D18" s="6"/>
      <c r="E18" s="6">
        <f t="shared" si="0"/>
        <v>0</v>
      </c>
    </row>
    <row r="19" spans="1:5" x14ac:dyDescent="0.25">
      <c r="A19" s="5" t="s">
        <v>20</v>
      </c>
      <c r="B19" s="6" t="s">
        <v>11</v>
      </c>
      <c r="C19" s="7">
        <f>0.7*0.7*0.35*14*1.1</f>
        <v>2.6410999999999993</v>
      </c>
      <c r="D19" s="6"/>
      <c r="E19" s="6">
        <f>C19*D19</f>
        <v>0</v>
      </c>
    </row>
    <row r="20" spans="1:5" x14ac:dyDescent="0.25">
      <c r="A20" s="5" t="s">
        <v>21</v>
      </c>
      <c r="B20" s="6" t="s">
        <v>11</v>
      </c>
      <c r="C20" s="7">
        <f>10*1.5*0.2*0.2*1.1</f>
        <v>0.66000000000000014</v>
      </c>
      <c r="D20" s="6"/>
      <c r="E20" s="6">
        <f>C20*D20</f>
        <v>0</v>
      </c>
    </row>
    <row r="21" spans="1:5" x14ac:dyDescent="0.25">
      <c r="A21" s="5" t="s">
        <v>194</v>
      </c>
      <c r="B21" s="6" t="s">
        <v>11</v>
      </c>
      <c r="C21" s="7">
        <f>23*0.15*0.2*1.1</f>
        <v>0.75900000000000001</v>
      </c>
      <c r="D21" s="6"/>
      <c r="E21" s="6">
        <f>C21*D21</f>
        <v>0</v>
      </c>
    </row>
    <row r="22" spans="1:5" ht="13" x14ac:dyDescent="0.25">
      <c r="A22" s="113" t="s">
        <v>24</v>
      </c>
      <c r="B22" s="114"/>
      <c r="C22" s="114"/>
      <c r="D22" s="115"/>
      <c r="E22" s="42">
        <f>SUM(E17:E21)</f>
        <v>0</v>
      </c>
    </row>
    <row r="23" spans="1:5" ht="13" x14ac:dyDescent="0.25">
      <c r="A23" s="76" t="s">
        <v>25</v>
      </c>
      <c r="B23" s="77"/>
      <c r="C23" s="77"/>
      <c r="D23" s="77"/>
      <c r="E23" s="78"/>
    </row>
    <row r="24" spans="1:5" x14ac:dyDescent="0.25">
      <c r="A24" s="5" t="s">
        <v>26</v>
      </c>
      <c r="B24" s="6" t="s">
        <v>23</v>
      </c>
      <c r="C24" s="7">
        <f>55.45</f>
        <v>55.45</v>
      </c>
      <c r="D24" s="6"/>
      <c r="E24" s="6">
        <f>D24*C24</f>
        <v>0</v>
      </c>
    </row>
    <row r="25" spans="1:5" x14ac:dyDescent="0.25">
      <c r="A25" s="5" t="s">
        <v>27</v>
      </c>
      <c r="B25" s="6" t="s">
        <v>23</v>
      </c>
      <c r="C25" s="7">
        <v>55.45</v>
      </c>
      <c r="D25" s="6"/>
      <c r="E25" s="6">
        <f>D25*C25</f>
        <v>0</v>
      </c>
    </row>
    <row r="26" spans="1:5" ht="13" x14ac:dyDescent="0.25">
      <c r="A26" s="98" t="s">
        <v>28</v>
      </c>
      <c r="B26" s="99"/>
      <c r="C26" s="99"/>
      <c r="D26" s="100"/>
      <c r="E26" s="4">
        <f>SUM(E24:E25)</f>
        <v>0</v>
      </c>
    </row>
    <row r="27" spans="1:5" ht="13" x14ac:dyDescent="0.25">
      <c r="A27" s="76" t="s">
        <v>205</v>
      </c>
      <c r="B27" s="77"/>
      <c r="C27" s="77"/>
      <c r="D27" s="77"/>
      <c r="E27" s="78"/>
    </row>
    <row r="28" spans="1:5" x14ac:dyDescent="0.25">
      <c r="A28" s="5" t="s">
        <v>29</v>
      </c>
      <c r="B28" s="6" t="s">
        <v>11</v>
      </c>
      <c r="C28" s="7">
        <f>12*0.15*0.2</f>
        <v>0.36</v>
      </c>
      <c r="D28" s="6"/>
      <c r="E28" s="6">
        <f>+C28*D28</f>
        <v>0</v>
      </c>
    </row>
    <row r="29" spans="1:5" x14ac:dyDescent="0.25">
      <c r="A29" s="5" t="s">
        <v>30</v>
      </c>
      <c r="B29" s="6" t="s">
        <v>11</v>
      </c>
      <c r="C29" s="7">
        <f>12*0.6*0.08*1.1</f>
        <v>0.63360000000000005</v>
      </c>
      <c r="D29" s="6"/>
      <c r="E29" s="6">
        <f t="shared" ref="E29:E34" si="1">C29*D29</f>
        <v>0</v>
      </c>
    </row>
    <row r="30" spans="1:5" x14ac:dyDescent="0.25">
      <c r="A30" s="5" t="s">
        <v>31</v>
      </c>
      <c r="B30" s="6" t="s">
        <v>11</v>
      </c>
      <c r="C30" s="7">
        <f>33*0.4*0.15*1.1</f>
        <v>2.1779999999999999</v>
      </c>
      <c r="D30" s="6"/>
      <c r="E30" s="6">
        <f t="shared" si="1"/>
        <v>0</v>
      </c>
    </row>
    <row r="31" spans="1:5" x14ac:dyDescent="0.25">
      <c r="A31" s="5" t="s">
        <v>221</v>
      </c>
      <c r="B31" s="6" t="s">
        <v>23</v>
      </c>
      <c r="C31" s="11">
        <v>55.45</v>
      </c>
      <c r="D31" s="6"/>
      <c r="E31" s="6">
        <f t="shared" si="1"/>
        <v>0</v>
      </c>
    </row>
    <row r="32" spans="1:5" x14ac:dyDescent="0.25">
      <c r="A32" s="5" t="s">
        <v>33</v>
      </c>
      <c r="B32" s="6" t="s">
        <v>11</v>
      </c>
      <c r="C32" s="7">
        <f>(14*3.5*0.2*0.2*1.1)</f>
        <v>2.1560000000000006</v>
      </c>
      <c r="D32" s="6"/>
      <c r="E32" s="6">
        <f t="shared" si="1"/>
        <v>0</v>
      </c>
    </row>
    <row r="33" spans="1:5" x14ac:dyDescent="0.25">
      <c r="A33" s="5" t="s">
        <v>197</v>
      </c>
      <c r="B33" s="6" t="s">
        <v>11</v>
      </c>
      <c r="C33" s="7">
        <f>2.23*1*0.2*1.1</f>
        <v>0.49060000000000004</v>
      </c>
      <c r="D33" s="6"/>
      <c r="E33" s="6">
        <f t="shared" si="1"/>
        <v>0</v>
      </c>
    </row>
    <row r="34" spans="1:5" x14ac:dyDescent="0.25">
      <c r="A34" s="8" t="s">
        <v>34</v>
      </c>
      <c r="B34" s="9" t="s">
        <v>11</v>
      </c>
      <c r="C34" s="10">
        <f>17*0.6*0.2*1.1</f>
        <v>2.2440000000000002</v>
      </c>
      <c r="D34" s="9"/>
      <c r="E34" s="9">
        <f t="shared" si="1"/>
        <v>0</v>
      </c>
    </row>
    <row r="35" spans="1:5" ht="13" x14ac:dyDescent="0.25">
      <c r="A35" s="66" t="s">
        <v>35</v>
      </c>
      <c r="B35" s="67"/>
      <c r="C35" s="67"/>
      <c r="D35" s="68"/>
      <c r="E35" s="4">
        <f>SUM(E28:E34)</f>
        <v>0</v>
      </c>
    </row>
    <row r="36" spans="1:5" ht="13" x14ac:dyDescent="0.25">
      <c r="A36" s="76" t="s">
        <v>206</v>
      </c>
      <c r="B36" s="77"/>
      <c r="C36" s="77"/>
      <c r="D36" s="77"/>
      <c r="E36" s="78"/>
    </row>
    <row r="37" spans="1:5" x14ac:dyDescent="0.25">
      <c r="A37" s="5" t="s">
        <v>36</v>
      </c>
      <c r="B37" s="6" t="s">
        <v>23</v>
      </c>
      <c r="C37" s="7">
        <f>33*4*1.1</f>
        <v>145.20000000000002</v>
      </c>
      <c r="D37" s="6"/>
      <c r="E37" s="6">
        <f>C37*D37</f>
        <v>0</v>
      </c>
    </row>
    <row r="38" spans="1:5" ht="13" x14ac:dyDescent="0.25">
      <c r="A38" s="66" t="s">
        <v>37</v>
      </c>
      <c r="B38" s="67"/>
      <c r="C38" s="67"/>
      <c r="D38" s="68"/>
      <c r="E38" s="4">
        <f>E37</f>
        <v>0</v>
      </c>
    </row>
    <row r="39" spans="1:5" ht="13" x14ac:dyDescent="0.25">
      <c r="A39" s="76" t="s">
        <v>207</v>
      </c>
      <c r="B39" s="77"/>
      <c r="C39" s="77"/>
      <c r="D39" s="77"/>
      <c r="E39" s="78"/>
    </row>
    <row r="40" spans="1:5" x14ac:dyDescent="0.25">
      <c r="A40" s="5" t="s">
        <v>223</v>
      </c>
      <c r="B40" s="6" t="s">
        <v>23</v>
      </c>
      <c r="C40" s="7">
        <v>102.16</v>
      </c>
      <c r="D40" s="6"/>
      <c r="E40" s="6">
        <f>C40*D40</f>
        <v>0</v>
      </c>
    </row>
    <row r="41" spans="1:5" x14ac:dyDescent="0.25">
      <c r="A41" s="5" t="s">
        <v>38</v>
      </c>
      <c r="B41" s="6" t="s">
        <v>23</v>
      </c>
      <c r="C41" s="7">
        <f>+C37</f>
        <v>145.20000000000002</v>
      </c>
      <c r="D41" s="6"/>
      <c r="E41" s="6">
        <f>C41*D41</f>
        <v>0</v>
      </c>
    </row>
    <row r="42" spans="1:5" x14ac:dyDescent="0.25">
      <c r="A42" s="5" t="s">
        <v>39</v>
      </c>
      <c r="B42" s="6" t="s">
        <v>23</v>
      </c>
      <c r="C42" s="7">
        <f>17*4*1.1</f>
        <v>74.800000000000011</v>
      </c>
      <c r="D42" s="6"/>
      <c r="E42" s="6">
        <f>C42*D42</f>
        <v>0</v>
      </c>
    </row>
    <row r="43" spans="1:5" x14ac:dyDescent="0.25">
      <c r="A43" s="5" t="s">
        <v>40</v>
      </c>
      <c r="B43" s="6" t="s">
        <v>23</v>
      </c>
      <c r="C43" s="7">
        <f>+C31</f>
        <v>55.45</v>
      </c>
      <c r="D43" s="6"/>
      <c r="E43" s="6">
        <f>C43*D43</f>
        <v>0</v>
      </c>
    </row>
    <row r="44" spans="1:5" ht="13" x14ac:dyDescent="0.25">
      <c r="A44" s="66" t="s">
        <v>41</v>
      </c>
      <c r="B44" s="67"/>
      <c r="C44" s="67"/>
      <c r="D44" s="68"/>
      <c r="E44" s="4">
        <f>SUM(E40:E43)</f>
        <v>0</v>
      </c>
    </row>
    <row r="45" spans="1:5" ht="13" x14ac:dyDescent="0.25">
      <c r="A45" s="104" t="s">
        <v>198</v>
      </c>
      <c r="B45" s="105"/>
      <c r="C45" s="105"/>
      <c r="D45" s="106"/>
      <c r="E45" s="14">
        <f>E44+E38+E35+E26+E22+E15</f>
        <v>0</v>
      </c>
    </row>
    <row r="46" spans="1:5" x14ac:dyDescent="0.25">
      <c r="C46" s="1"/>
    </row>
    <row r="47" spans="1:5" ht="13" x14ac:dyDescent="0.25">
      <c r="A47" s="69" t="s">
        <v>43</v>
      </c>
      <c r="B47" s="70"/>
      <c r="C47" s="70"/>
      <c r="D47" s="70"/>
      <c r="E47" s="71"/>
    </row>
    <row r="48" spans="1:5" ht="28" customHeight="1" x14ac:dyDescent="0.25">
      <c r="A48" s="101" t="s">
        <v>299</v>
      </c>
      <c r="B48" s="102"/>
      <c r="C48" s="102"/>
      <c r="D48" s="102"/>
      <c r="E48" s="103"/>
    </row>
    <row r="49" spans="1:5" ht="13" x14ac:dyDescent="0.25">
      <c r="A49" s="66" t="s">
        <v>44</v>
      </c>
      <c r="B49" s="67"/>
      <c r="C49" s="67"/>
      <c r="D49" s="67"/>
      <c r="E49" s="68"/>
    </row>
    <row r="50" spans="1:5" x14ac:dyDescent="0.25">
      <c r="A50" s="5" t="s">
        <v>217</v>
      </c>
      <c r="B50" s="6" t="s">
        <v>23</v>
      </c>
      <c r="C50" s="7">
        <f>+C43</f>
        <v>55.45</v>
      </c>
      <c r="D50" s="6"/>
      <c r="E50" s="6">
        <f>C50*D50</f>
        <v>0</v>
      </c>
    </row>
    <row r="51" spans="1:5" x14ac:dyDescent="0.25">
      <c r="A51" s="5" t="s">
        <v>222</v>
      </c>
      <c r="B51" s="6" t="s">
        <v>23</v>
      </c>
      <c r="C51" s="7">
        <v>55.45</v>
      </c>
      <c r="D51" s="6"/>
      <c r="E51" s="6">
        <f>C51*D51</f>
        <v>0</v>
      </c>
    </row>
    <row r="52" spans="1:5" ht="25" x14ac:dyDescent="0.25">
      <c r="A52" s="5" t="s">
        <v>46</v>
      </c>
      <c r="B52" s="6" t="s">
        <v>23</v>
      </c>
      <c r="C52" s="7">
        <f>9.5*1.1</f>
        <v>10.450000000000001</v>
      </c>
      <c r="D52" s="6"/>
      <c r="E52" s="6">
        <f>D52*C52</f>
        <v>0</v>
      </c>
    </row>
    <row r="53" spans="1:5" x14ac:dyDescent="0.25">
      <c r="A53" s="5" t="s">
        <v>208</v>
      </c>
      <c r="B53" s="6" t="s">
        <v>23</v>
      </c>
      <c r="C53" s="7">
        <f>22.4*2*1.1</f>
        <v>49.28</v>
      </c>
      <c r="D53" s="6"/>
      <c r="E53" s="6">
        <f>C53*D53</f>
        <v>0</v>
      </c>
    </row>
    <row r="54" spans="1:5" x14ac:dyDescent="0.25">
      <c r="A54" s="5" t="s">
        <v>47</v>
      </c>
      <c r="B54" s="6" t="s">
        <v>48</v>
      </c>
      <c r="C54" s="7">
        <f>16*1.2</f>
        <v>19.2</v>
      </c>
      <c r="D54" s="6"/>
      <c r="E54" s="6">
        <f>C54*D54</f>
        <v>0</v>
      </c>
    </row>
    <row r="55" spans="1:5" ht="13" x14ac:dyDescent="0.25">
      <c r="A55" s="98" t="s">
        <v>50</v>
      </c>
      <c r="B55" s="99"/>
      <c r="C55" s="99"/>
      <c r="D55" s="100"/>
      <c r="E55" s="4">
        <f>SUM(E50:E54)</f>
        <v>0</v>
      </c>
    </row>
    <row r="56" spans="1:5" ht="13" x14ac:dyDescent="0.25">
      <c r="A56" s="76" t="s">
        <v>51</v>
      </c>
      <c r="B56" s="77"/>
      <c r="C56" s="77"/>
      <c r="D56" s="77"/>
      <c r="E56" s="78"/>
    </row>
    <row r="57" spans="1:5" x14ac:dyDescent="0.25">
      <c r="A57" s="101" t="s">
        <v>52</v>
      </c>
      <c r="B57" s="102"/>
      <c r="C57" s="102"/>
      <c r="D57" s="102"/>
      <c r="E57" s="103"/>
    </row>
    <row r="58" spans="1:5" x14ac:dyDescent="0.25">
      <c r="A58" s="5" t="s">
        <v>53</v>
      </c>
      <c r="B58" s="6" t="s">
        <v>23</v>
      </c>
      <c r="C58" s="7">
        <f>C41+C42</f>
        <v>220.00000000000003</v>
      </c>
      <c r="D58" s="6"/>
      <c r="E58" s="6">
        <f>D58*C58</f>
        <v>0</v>
      </c>
    </row>
    <row r="59" spans="1:5" ht="25" x14ac:dyDescent="0.25">
      <c r="A59" s="5" t="s">
        <v>54</v>
      </c>
      <c r="B59" s="6" t="s">
        <v>23</v>
      </c>
      <c r="C59" s="7">
        <f>C41</f>
        <v>145.20000000000002</v>
      </c>
      <c r="D59" s="6"/>
      <c r="E59" s="6">
        <f>C59*D59</f>
        <v>0</v>
      </c>
    </row>
    <row r="60" spans="1:5" ht="25" x14ac:dyDescent="0.25">
      <c r="A60" s="5" t="s">
        <v>55</v>
      </c>
      <c r="B60" s="6" t="s">
        <v>23</v>
      </c>
      <c r="C60" s="7">
        <f>C42</f>
        <v>74.800000000000011</v>
      </c>
      <c r="D60" s="6"/>
      <c r="E60" s="6">
        <f>C60*D60</f>
        <v>0</v>
      </c>
    </row>
    <row r="61" spans="1:5" ht="25" x14ac:dyDescent="0.25">
      <c r="A61" s="5" t="s">
        <v>56</v>
      </c>
      <c r="B61" s="6" t="s">
        <v>23</v>
      </c>
      <c r="C61" s="7">
        <v>180</v>
      </c>
      <c r="D61" s="6"/>
      <c r="E61" s="6">
        <f>+D61*C61</f>
        <v>0</v>
      </c>
    </row>
    <row r="62" spans="1:5" ht="25" x14ac:dyDescent="0.25">
      <c r="A62" s="5" t="s">
        <v>57</v>
      </c>
      <c r="B62" s="6" t="s">
        <v>23</v>
      </c>
      <c r="C62" s="7">
        <v>22.4</v>
      </c>
      <c r="D62" s="6"/>
      <c r="E62" s="6">
        <f>C62*D62</f>
        <v>0</v>
      </c>
    </row>
    <row r="63" spans="1:5" ht="13" x14ac:dyDescent="0.25">
      <c r="A63" s="66" t="s">
        <v>58</v>
      </c>
      <c r="B63" s="67"/>
      <c r="C63" s="67"/>
      <c r="D63" s="68"/>
      <c r="E63" s="4">
        <f>SUM(E58:E62)</f>
        <v>0</v>
      </c>
    </row>
    <row r="64" spans="1:5" ht="13" x14ac:dyDescent="0.25">
      <c r="A64" s="85" t="s">
        <v>62</v>
      </c>
      <c r="B64" s="86"/>
      <c r="C64" s="86"/>
      <c r="D64" s="87"/>
      <c r="E64" s="12">
        <f>+E63+E55</f>
        <v>0</v>
      </c>
    </row>
    <row r="65" spans="1:5" ht="13" x14ac:dyDescent="0.25">
      <c r="A65" s="76" t="s">
        <v>63</v>
      </c>
      <c r="B65" s="77"/>
      <c r="C65" s="77"/>
      <c r="D65" s="77"/>
      <c r="E65" s="78"/>
    </row>
    <row r="66" spans="1:5" ht="13" x14ac:dyDescent="0.25">
      <c r="A66" s="66" t="s">
        <v>65</v>
      </c>
      <c r="B66" s="67"/>
      <c r="C66" s="67"/>
      <c r="D66" s="67"/>
      <c r="E66" s="68"/>
    </row>
    <row r="67" spans="1:5" x14ac:dyDescent="0.25">
      <c r="A67" s="5" t="s">
        <v>248</v>
      </c>
      <c r="B67" s="6" t="s">
        <v>68</v>
      </c>
      <c r="C67" s="7">
        <v>1</v>
      </c>
      <c r="D67" s="6"/>
      <c r="E67" s="6">
        <f t="shared" ref="E67" si="2">D67*C67</f>
        <v>0</v>
      </c>
    </row>
    <row r="68" spans="1:5" ht="13" x14ac:dyDescent="0.25">
      <c r="A68" s="76" t="s">
        <v>249</v>
      </c>
      <c r="B68" s="77"/>
      <c r="C68" s="77"/>
      <c r="D68" s="77"/>
      <c r="E68" s="78"/>
    </row>
    <row r="69" spans="1:5" ht="13" x14ac:dyDescent="0.25">
      <c r="A69" s="66" t="s">
        <v>75</v>
      </c>
      <c r="B69" s="67"/>
      <c r="C69" s="67"/>
      <c r="D69" s="67"/>
      <c r="E69" s="68"/>
    </row>
    <row r="70" spans="1:5" ht="13" x14ac:dyDescent="0.25">
      <c r="A70" s="95" t="s">
        <v>183</v>
      </c>
      <c r="B70" s="96"/>
      <c r="C70" s="96"/>
      <c r="D70" s="96"/>
      <c r="E70" s="97"/>
    </row>
    <row r="71" spans="1:5" ht="25" x14ac:dyDescent="0.25">
      <c r="A71" s="8" t="s">
        <v>250</v>
      </c>
      <c r="B71" s="9" t="s">
        <v>68</v>
      </c>
      <c r="C71" s="10">
        <v>2</v>
      </c>
      <c r="D71" s="9"/>
      <c r="E71" s="9">
        <f t="shared" ref="E71" si="3">C71*D71</f>
        <v>0</v>
      </c>
    </row>
    <row r="72" spans="1:5" ht="13" x14ac:dyDescent="0.25">
      <c r="A72" s="76" t="s">
        <v>251</v>
      </c>
      <c r="B72" s="77"/>
      <c r="C72" s="77"/>
      <c r="D72" s="77"/>
      <c r="E72" s="78"/>
    </row>
    <row r="73" spans="1:5" x14ac:dyDescent="0.25">
      <c r="A73" s="8" t="s">
        <v>252</v>
      </c>
      <c r="B73" s="9" t="s">
        <v>68</v>
      </c>
      <c r="C73" s="10">
        <v>1</v>
      </c>
      <c r="D73" s="9"/>
      <c r="E73" s="9">
        <f>C73*D73</f>
        <v>0</v>
      </c>
    </row>
    <row r="74" spans="1:5" x14ac:dyDescent="0.25">
      <c r="A74" s="5" t="s">
        <v>245</v>
      </c>
      <c r="B74" s="6" t="s">
        <v>68</v>
      </c>
      <c r="C74" s="7">
        <v>1</v>
      </c>
      <c r="D74" s="6"/>
      <c r="E74" s="6">
        <f>D74*C74</f>
        <v>0</v>
      </c>
    </row>
    <row r="75" spans="1:5" ht="13" x14ac:dyDescent="0.25">
      <c r="A75" s="98" t="s">
        <v>77</v>
      </c>
      <c r="B75" s="99"/>
      <c r="C75" s="99"/>
      <c r="D75" s="100"/>
      <c r="E75" s="4">
        <f>SUM(E73:E74)</f>
        <v>0</v>
      </c>
    </row>
    <row r="76" spans="1:5" ht="13" x14ac:dyDescent="0.25">
      <c r="A76" s="85" t="s">
        <v>78</v>
      </c>
      <c r="B76" s="86"/>
      <c r="C76" s="86"/>
      <c r="D76" s="87"/>
      <c r="E76" s="12">
        <f>E75+E71+E67</f>
        <v>0</v>
      </c>
    </row>
    <row r="77" spans="1:5" ht="13" x14ac:dyDescent="0.25">
      <c r="A77" s="76" t="s">
        <v>79</v>
      </c>
      <c r="B77" s="77"/>
      <c r="C77" s="77"/>
      <c r="D77" s="77"/>
      <c r="E77" s="78"/>
    </row>
    <row r="78" spans="1:5" ht="25" x14ac:dyDescent="0.25">
      <c r="A78" s="5" t="s">
        <v>80</v>
      </c>
      <c r="B78" s="6" t="s">
        <v>81</v>
      </c>
      <c r="C78" s="7">
        <v>1</v>
      </c>
      <c r="D78" s="6"/>
      <c r="E78" s="6">
        <f t="shared" ref="E78:E80" si="4">+D78*C78</f>
        <v>0</v>
      </c>
    </row>
    <row r="79" spans="1:5" ht="13" x14ac:dyDescent="0.25">
      <c r="A79" s="66" t="s">
        <v>82</v>
      </c>
      <c r="B79" s="67"/>
      <c r="C79" s="67"/>
      <c r="D79" s="67"/>
      <c r="E79" s="68"/>
    </row>
    <row r="80" spans="1:5" x14ac:dyDescent="0.25">
      <c r="A80" s="8" t="s">
        <v>247</v>
      </c>
      <c r="B80" s="9" t="s">
        <v>81</v>
      </c>
      <c r="C80" s="10">
        <v>1</v>
      </c>
      <c r="D80" s="9"/>
      <c r="E80" s="9">
        <f t="shared" si="4"/>
        <v>0</v>
      </c>
    </row>
    <row r="81" spans="1:5" ht="13" x14ac:dyDescent="0.25">
      <c r="A81" s="95" t="s">
        <v>86</v>
      </c>
      <c r="B81" s="96"/>
      <c r="C81" s="96"/>
      <c r="D81" s="96"/>
      <c r="E81" s="97"/>
    </row>
    <row r="82" spans="1:5" x14ac:dyDescent="0.25">
      <c r="A82" s="8" t="s">
        <v>253</v>
      </c>
      <c r="B82" s="9" t="s">
        <v>6</v>
      </c>
      <c r="C82" s="10">
        <v>1</v>
      </c>
      <c r="D82" s="9"/>
      <c r="E82" s="9">
        <f>+D82*C82</f>
        <v>0</v>
      </c>
    </row>
    <row r="83" spans="1:5" x14ac:dyDescent="0.25">
      <c r="A83" s="8" t="s">
        <v>88</v>
      </c>
      <c r="B83" s="9" t="s">
        <v>48</v>
      </c>
      <c r="C83" s="10">
        <v>80</v>
      </c>
      <c r="D83" s="9"/>
      <c r="E83" s="9">
        <f t="shared" ref="E83:E92" si="5">+D83*C83</f>
        <v>0</v>
      </c>
    </row>
    <row r="84" spans="1:5" x14ac:dyDescent="0.25">
      <c r="A84" s="8" t="s">
        <v>89</v>
      </c>
      <c r="B84" s="9" t="s">
        <v>48</v>
      </c>
      <c r="C84" s="10">
        <v>120</v>
      </c>
      <c r="D84" s="9"/>
      <c r="E84" s="9">
        <f t="shared" si="5"/>
        <v>0</v>
      </c>
    </row>
    <row r="85" spans="1:5" x14ac:dyDescent="0.25">
      <c r="A85" s="8" t="s">
        <v>91</v>
      </c>
      <c r="B85" s="9" t="s">
        <v>48</v>
      </c>
      <c r="C85" s="10">
        <v>10</v>
      </c>
      <c r="D85" s="9"/>
      <c r="E85" s="9">
        <f t="shared" si="5"/>
        <v>0</v>
      </c>
    </row>
    <row r="86" spans="1:5" x14ac:dyDescent="0.25">
      <c r="A86" s="5" t="s">
        <v>93</v>
      </c>
      <c r="B86" s="6" t="s">
        <v>68</v>
      </c>
      <c r="C86" s="7">
        <v>4</v>
      </c>
      <c r="D86" s="6"/>
      <c r="E86" s="6">
        <f t="shared" si="5"/>
        <v>0</v>
      </c>
    </row>
    <row r="87" spans="1:5" x14ac:dyDescent="0.25">
      <c r="A87" s="5" t="s">
        <v>94</v>
      </c>
      <c r="B87" s="6" t="s">
        <v>68</v>
      </c>
      <c r="C87" s="7">
        <v>1</v>
      </c>
      <c r="D87" s="6"/>
      <c r="E87" s="6">
        <f t="shared" si="5"/>
        <v>0</v>
      </c>
    </row>
    <row r="88" spans="1:5" x14ac:dyDescent="0.25">
      <c r="A88" s="5" t="s">
        <v>95</v>
      </c>
      <c r="B88" s="6" t="s">
        <v>68</v>
      </c>
      <c r="C88" s="7">
        <v>1</v>
      </c>
      <c r="D88" s="6"/>
      <c r="E88" s="6">
        <f t="shared" si="5"/>
        <v>0</v>
      </c>
    </row>
    <row r="89" spans="1:5" x14ac:dyDescent="0.25">
      <c r="A89" s="5" t="s">
        <v>102</v>
      </c>
      <c r="B89" s="6" t="s">
        <v>68</v>
      </c>
      <c r="C89" s="7">
        <v>2</v>
      </c>
      <c r="D89" s="6"/>
      <c r="E89" s="6">
        <f t="shared" si="5"/>
        <v>0</v>
      </c>
    </row>
    <row r="90" spans="1:5" x14ac:dyDescent="0.25">
      <c r="A90" s="5" t="s">
        <v>103</v>
      </c>
      <c r="B90" s="6" t="s">
        <v>68</v>
      </c>
      <c r="C90" s="7">
        <v>2</v>
      </c>
      <c r="D90" s="6"/>
      <c r="E90" s="6">
        <f t="shared" si="5"/>
        <v>0</v>
      </c>
    </row>
    <row r="91" spans="1:5" x14ac:dyDescent="0.25">
      <c r="A91" s="5" t="s">
        <v>104</v>
      </c>
      <c r="B91" s="6" t="s">
        <v>68</v>
      </c>
      <c r="C91" s="7">
        <v>4</v>
      </c>
      <c r="D91" s="6"/>
      <c r="E91" s="6">
        <f t="shared" si="5"/>
        <v>0</v>
      </c>
    </row>
    <row r="92" spans="1:5" ht="50" x14ac:dyDescent="0.25">
      <c r="A92" s="5" t="s">
        <v>106</v>
      </c>
      <c r="B92" s="6" t="s">
        <v>68</v>
      </c>
      <c r="C92" s="7">
        <v>2</v>
      </c>
      <c r="D92" s="6"/>
      <c r="E92" s="6">
        <f t="shared" si="5"/>
        <v>0</v>
      </c>
    </row>
    <row r="93" spans="1:5" ht="13" x14ac:dyDescent="0.25">
      <c r="A93" s="98" t="s">
        <v>108</v>
      </c>
      <c r="B93" s="99"/>
      <c r="C93" s="99"/>
      <c r="D93" s="100"/>
      <c r="E93" s="4">
        <f>SUM(E78:E92)</f>
        <v>0</v>
      </c>
    </row>
    <row r="94" spans="1:5" ht="13" x14ac:dyDescent="0.25">
      <c r="A94" s="76" t="s">
        <v>109</v>
      </c>
      <c r="B94" s="77"/>
      <c r="C94" s="77"/>
      <c r="D94" s="77"/>
      <c r="E94" s="78"/>
    </row>
    <row r="95" spans="1:5" x14ac:dyDescent="0.25">
      <c r="A95" s="5" t="s">
        <v>112</v>
      </c>
      <c r="B95" s="88" t="s">
        <v>81</v>
      </c>
      <c r="C95" s="91">
        <v>1</v>
      </c>
      <c r="D95" s="88"/>
      <c r="E95" s="88">
        <f>D95*C95</f>
        <v>0</v>
      </c>
    </row>
    <row r="96" spans="1:5" ht="25" x14ac:dyDescent="0.25">
      <c r="A96" s="5" t="s">
        <v>302</v>
      </c>
      <c r="B96" s="89"/>
      <c r="C96" s="92"/>
      <c r="D96" s="89"/>
      <c r="E96" s="89"/>
    </row>
    <row r="97" spans="1:5" ht="25" x14ac:dyDescent="0.25">
      <c r="A97" s="5" t="s">
        <v>303</v>
      </c>
      <c r="B97" s="89"/>
      <c r="C97" s="92"/>
      <c r="D97" s="89"/>
      <c r="E97" s="89"/>
    </row>
    <row r="98" spans="1:5" ht="13" x14ac:dyDescent="0.25">
      <c r="A98" s="98" t="s">
        <v>125</v>
      </c>
      <c r="B98" s="99"/>
      <c r="C98" s="99"/>
      <c r="D98" s="100"/>
      <c r="E98" s="4">
        <f>E95</f>
        <v>0</v>
      </c>
    </row>
    <row r="99" spans="1:5" ht="13" x14ac:dyDescent="0.25">
      <c r="A99" s="76" t="s">
        <v>132</v>
      </c>
      <c r="B99" s="77"/>
      <c r="C99" s="77"/>
      <c r="D99" s="77"/>
      <c r="E99" s="78"/>
    </row>
    <row r="100" spans="1:5" ht="25" x14ac:dyDescent="0.25">
      <c r="A100" s="5" t="s">
        <v>134</v>
      </c>
      <c r="B100" s="6" t="s">
        <v>68</v>
      </c>
      <c r="C100" s="7">
        <v>2</v>
      </c>
      <c r="D100" s="6"/>
      <c r="E100" s="6">
        <f>D100*C100</f>
        <v>0</v>
      </c>
    </row>
    <row r="101" spans="1:5" ht="13" x14ac:dyDescent="0.25">
      <c r="A101" s="98" t="s">
        <v>136</v>
      </c>
      <c r="B101" s="99"/>
      <c r="C101" s="99"/>
      <c r="D101" s="100"/>
      <c r="E101" s="4">
        <f>E100</f>
        <v>0</v>
      </c>
    </row>
    <row r="102" spans="1:5" ht="13" x14ac:dyDescent="0.25">
      <c r="A102" s="85" t="s">
        <v>137</v>
      </c>
      <c r="B102" s="86"/>
      <c r="C102" s="86"/>
      <c r="D102" s="87"/>
      <c r="E102" s="12">
        <f>E101+E98+E93</f>
        <v>0</v>
      </c>
    </row>
    <row r="103" spans="1:5" ht="13" x14ac:dyDescent="0.25">
      <c r="A103" s="76" t="s">
        <v>138</v>
      </c>
      <c r="B103" s="77"/>
      <c r="C103" s="77"/>
      <c r="D103" s="77"/>
      <c r="E103" s="78"/>
    </row>
    <row r="104" spans="1:5" ht="13" x14ac:dyDescent="0.25">
      <c r="A104" s="66" t="s">
        <v>139</v>
      </c>
      <c r="B104" s="67"/>
      <c r="C104" s="67"/>
      <c r="D104" s="67"/>
      <c r="E104" s="68"/>
    </row>
    <row r="105" spans="1:5" ht="50" x14ac:dyDescent="0.25">
      <c r="A105" s="5" t="s">
        <v>140</v>
      </c>
      <c r="B105" s="6" t="s">
        <v>5</v>
      </c>
      <c r="C105" s="7">
        <v>1</v>
      </c>
      <c r="D105" s="6"/>
      <c r="E105" s="6">
        <f>+D105*C105</f>
        <v>0</v>
      </c>
    </row>
    <row r="106" spans="1:5" ht="13" x14ac:dyDescent="0.25">
      <c r="A106" s="66" t="s">
        <v>141</v>
      </c>
      <c r="B106" s="67"/>
      <c r="C106" s="67"/>
      <c r="D106" s="67"/>
      <c r="E106" s="68"/>
    </row>
    <row r="107" spans="1:5" x14ac:dyDescent="0.25">
      <c r="A107" s="5" t="s">
        <v>304</v>
      </c>
      <c r="B107" s="6" t="s">
        <v>68</v>
      </c>
      <c r="C107" s="7">
        <v>2</v>
      </c>
      <c r="D107" s="6"/>
      <c r="E107" s="6">
        <f>C107*D107</f>
        <v>0</v>
      </c>
    </row>
    <row r="108" spans="1:5" x14ac:dyDescent="0.25">
      <c r="A108" s="5" t="s">
        <v>147</v>
      </c>
      <c r="B108" s="6" t="s">
        <v>68</v>
      </c>
      <c r="C108" s="7">
        <v>2</v>
      </c>
      <c r="D108" s="6"/>
      <c r="E108" s="6">
        <f t="shared" ref="E108:E110" si="6">D108*C108</f>
        <v>0</v>
      </c>
    </row>
    <row r="109" spans="1:5" x14ac:dyDescent="0.25">
      <c r="A109" s="5" t="s">
        <v>305</v>
      </c>
      <c r="B109" s="6" t="s">
        <v>68</v>
      </c>
      <c r="C109" s="7">
        <v>1</v>
      </c>
      <c r="D109" s="6"/>
      <c r="E109" s="6">
        <f t="shared" si="6"/>
        <v>0</v>
      </c>
    </row>
    <row r="110" spans="1:5" x14ac:dyDescent="0.25">
      <c r="A110" s="5" t="s">
        <v>150</v>
      </c>
      <c r="B110" s="6" t="s">
        <v>68</v>
      </c>
      <c r="C110" s="7">
        <v>1</v>
      </c>
      <c r="D110" s="6"/>
      <c r="E110" s="6">
        <f t="shared" si="6"/>
        <v>0</v>
      </c>
    </row>
    <row r="111" spans="1:5" ht="37.5" x14ac:dyDescent="0.25">
      <c r="A111" s="5" t="s">
        <v>156</v>
      </c>
      <c r="B111" s="6" t="s">
        <v>5</v>
      </c>
      <c r="C111" s="7">
        <v>1</v>
      </c>
      <c r="D111" s="6"/>
      <c r="E111" s="6">
        <f>D111*C111</f>
        <v>0</v>
      </c>
    </row>
    <row r="112" spans="1:5" ht="25" x14ac:dyDescent="0.25">
      <c r="A112" s="5" t="s">
        <v>158</v>
      </c>
      <c r="B112" s="6" t="s">
        <v>68</v>
      </c>
      <c r="C112" s="7">
        <v>2</v>
      </c>
      <c r="D112" s="6"/>
      <c r="E112" s="6">
        <f>C112*D112</f>
        <v>0</v>
      </c>
    </row>
    <row r="113" spans="1:5" ht="25" x14ac:dyDescent="0.25">
      <c r="A113" s="5" t="s">
        <v>159</v>
      </c>
      <c r="B113" s="6" t="s">
        <v>5</v>
      </c>
      <c r="C113" s="7">
        <v>1</v>
      </c>
      <c r="D113" s="6"/>
      <c r="E113" s="6">
        <f>D113*C113</f>
        <v>0</v>
      </c>
    </row>
    <row r="114" spans="1:5" ht="25" x14ac:dyDescent="0.25">
      <c r="A114" s="8" t="s">
        <v>182</v>
      </c>
      <c r="B114" s="9" t="s">
        <v>5</v>
      </c>
      <c r="C114" s="10">
        <v>1</v>
      </c>
      <c r="D114" s="9"/>
      <c r="E114" s="9">
        <f>D114*C114</f>
        <v>0</v>
      </c>
    </row>
    <row r="115" spans="1:5" ht="13" x14ac:dyDescent="0.25">
      <c r="A115" s="32" t="s">
        <v>160</v>
      </c>
      <c r="B115" s="33"/>
      <c r="C115" s="34"/>
      <c r="D115" s="33"/>
      <c r="E115" s="12">
        <f>SUM(E105:E114)</f>
        <v>0</v>
      </c>
    </row>
    <row r="116" spans="1:5" ht="13" x14ac:dyDescent="0.25">
      <c r="A116" s="69" t="s">
        <v>161</v>
      </c>
      <c r="B116" s="70"/>
      <c r="C116" s="70"/>
      <c r="D116" s="71"/>
      <c r="E116" s="14">
        <f>E115+E102+E76+E64</f>
        <v>0</v>
      </c>
    </row>
    <row r="117" spans="1:5" x14ac:dyDescent="0.25">
      <c r="C117" s="1"/>
    </row>
    <row r="118" spans="1:5" ht="13" x14ac:dyDescent="0.25">
      <c r="A118" s="82" t="s">
        <v>308</v>
      </c>
      <c r="B118" s="83"/>
      <c r="C118" s="83"/>
      <c r="D118" s="84"/>
      <c r="E118" s="47">
        <f>E116+E45+E7</f>
        <v>0</v>
      </c>
    </row>
  </sheetData>
  <mergeCells count="52">
    <mergeCell ref="A23:E23"/>
    <mergeCell ref="A2:E2"/>
    <mergeCell ref="A5:E5"/>
    <mergeCell ref="A7:D7"/>
    <mergeCell ref="A9:E9"/>
    <mergeCell ref="A10:E10"/>
    <mergeCell ref="A15:D15"/>
    <mergeCell ref="A16:E16"/>
    <mergeCell ref="A22:D22"/>
    <mergeCell ref="A72:E72"/>
    <mergeCell ref="A49:E49"/>
    <mergeCell ref="A26:D26"/>
    <mergeCell ref="A27:E27"/>
    <mergeCell ref="A35:D35"/>
    <mergeCell ref="A36:E36"/>
    <mergeCell ref="A38:D38"/>
    <mergeCell ref="A39:E39"/>
    <mergeCell ref="A44:D44"/>
    <mergeCell ref="A45:D45"/>
    <mergeCell ref="A47:E47"/>
    <mergeCell ref="A48:E48"/>
    <mergeCell ref="A106:E106"/>
    <mergeCell ref="A116:D116"/>
    <mergeCell ref="A118:D118"/>
    <mergeCell ref="A99:E99"/>
    <mergeCell ref="A76:D76"/>
    <mergeCell ref="A77:E77"/>
    <mergeCell ref="A79:E79"/>
    <mergeCell ref="A81:E81"/>
    <mergeCell ref="A93:D93"/>
    <mergeCell ref="A94:E94"/>
    <mergeCell ref="B95:B97"/>
    <mergeCell ref="C95:C97"/>
    <mergeCell ref="D95:D97"/>
    <mergeCell ref="E95:E97"/>
    <mergeCell ref="A98:D98"/>
    <mergeCell ref="A1:E1"/>
    <mergeCell ref="A101:D101"/>
    <mergeCell ref="A102:D102"/>
    <mergeCell ref="A103:E103"/>
    <mergeCell ref="A104:E104"/>
    <mergeCell ref="A75:D75"/>
    <mergeCell ref="A55:D55"/>
    <mergeCell ref="A56:E56"/>
    <mergeCell ref="A57:E57"/>
    <mergeCell ref="A63:D63"/>
    <mergeCell ref="A64:D64"/>
    <mergeCell ref="A65:E65"/>
    <mergeCell ref="A66:E66"/>
    <mergeCell ref="A68:E68"/>
    <mergeCell ref="A69:E69"/>
    <mergeCell ref="A70:E70"/>
  </mergeCells>
  <phoneticPr fontId="1" type="noConversion"/>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430"/>
  <sheetViews>
    <sheetView tabSelected="1" topLeftCell="A129" zoomScale="70" zoomScaleNormal="70" workbookViewId="0">
      <selection activeCell="C141" sqref="C141"/>
    </sheetView>
  </sheetViews>
  <sheetFormatPr baseColWidth="10" defaultRowHeight="12.5" x14ac:dyDescent="0.25"/>
  <cols>
    <col min="1" max="1" width="54.81640625" style="1" customWidth="1"/>
    <col min="2" max="2" width="4.81640625" style="1" customWidth="1"/>
    <col min="3" max="3" width="12" style="31" customWidth="1"/>
    <col min="4" max="4" width="13.7265625" style="1" customWidth="1"/>
    <col min="5" max="5" width="18.7265625" style="1" customWidth="1"/>
    <col min="6" max="16384" width="10.90625" style="1"/>
  </cols>
  <sheetData>
    <row r="1" spans="1:5" ht="13" customHeight="1" x14ac:dyDescent="0.25">
      <c r="A1" s="110" t="s">
        <v>218</v>
      </c>
      <c r="B1" s="111"/>
      <c r="C1" s="111"/>
      <c r="D1" s="111"/>
      <c r="E1" s="112"/>
    </row>
    <row r="2" spans="1:5" ht="13" x14ac:dyDescent="0.25">
      <c r="A2" s="99"/>
      <c r="B2" s="99"/>
      <c r="C2" s="99"/>
      <c r="D2" s="99"/>
      <c r="E2" s="99"/>
    </row>
    <row r="3" spans="1:5" ht="13" x14ac:dyDescent="0.25">
      <c r="A3" s="2" t="s">
        <v>0</v>
      </c>
      <c r="B3" s="3" t="s">
        <v>1</v>
      </c>
      <c r="C3" s="41" t="s">
        <v>283</v>
      </c>
      <c r="D3" s="3" t="s">
        <v>281</v>
      </c>
      <c r="E3" s="4" t="s">
        <v>282</v>
      </c>
    </row>
    <row r="4" spans="1:5" x14ac:dyDescent="0.25">
      <c r="C4" s="1"/>
    </row>
    <row r="5" spans="1:5" ht="13" x14ac:dyDescent="0.25">
      <c r="A5" s="69" t="s">
        <v>219</v>
      </c>
      <c r="B5" s="70"/>
      <c r="C5" s="70"/>
      <c r="D5" s="70"/>
      <c r="E5" s="71"/>
    </row>
    <row r="6" spans="1:5" ht="25" x14ac:dyDescent="0.25">
      <c r="A6" s="8" t="s">
        <v>298</v>
      </c>
      <c r="B6" s="9" t="s">
        <v>6</v>
      </c>
      <c r="C6" s="10">
        <v>1</v>
      </c>
      <c r="D6" s="9"/>
      <c r="E6" s="9">
        <f>D6*C6</f>
        <v>0</v>
      </c>
    </row>
    <row r="7" spans="1:5" ht="13" x14ac:dyDescent="0.25">
      <c r="A7" s="69" t="s">
        <v>220</v>
      </c>
      <c r="B7" s="70"/>
      <c r="C7" s="70"/>
      <c r="D7" s="71"/>
      <c r="E7" s="14">
        <f>E6</f>
        <v>0</v>
      </c>
    </row>
    <row r="8" spans="1:5" x14ac:dyDescent="0.25">
      <c r="C8" s="1"/>
    </row>
    <row r="9" spans="1:5" ht="13" x14ac:dyDescent="0.25">
      <c r="A9" s="69" t="s">
        <v>8</v>
      </c>
      <c r="B9" s="70"/>
      <c r="C9" s="70"/>
      <c r="D9" s="70"/>
      <c r="E9" s="71"/>
    </row>
    <row r="10" spans="1:5" ht="13" x14ac:dyDescent="0.25">
      <c r="A10" s="76" t="s">
        <v>9</v>
      </c>
      <c r="B10" s="77"/>
      <c r="C10" s="77"/>
      <c r="D10" s="77"/>
      <c r="E10" s="78"/>
    </row>
    <row r="11" spans="1:5" x14ac:dyDescent="0.25">
      <c r="A11" s="5" t="s">
        <v>10</v>
      </c>
      <c r="B11" s="6" t="s">
        <v>11</v>
      </c>
      <c r="C11" s="7">
        <f>1*1*0.8*14</f>
        <v>11.200000000000001</v>
      </c>
      <c r="D11" s="6"/>
      <c r="E11" s="6">
        <f>C11*D11</f>
        <v>0</v>
      </c>
    </row>
    <row r="12" spans="1:5" x14ac:dyDescent="0.25">
      <c r="A12" s="5" t="s">
        <v>12</v>
      </c>
      <c r="B12" s="6" t="s">
        <v>11</v>
      </c>
      <c r="C12" s="7">
        <f>32.76*0.6*0.8</f>
        <v>15.7248</v>
      </c>
      <c r="D12" s="6"/>
      <c r="E12" s="6">
        <f>C12*D12</f>
        <v>0</v>
      </c>
    </row>
    <row r="13" spans="1:5" x14ac:dyDescent="0.25">
      <c r="A13" s="5" t="s">
        <v>13</v>
      </c>
      <c r="B13" s="6" t="s">
        <v>11</v>
      </c>
      <c r="C13" s="7">
        <f>C12+C11</f>
        <v>26.924800000000001</v>
      </c>
      <c r="D13" s="6"/>
      <c r="E13" s="6">
        <f>C13*D13</f>
        <v>0</v>
      </c>
    </row>
    <row r="14" spans="1:5" ht="25" x14ac:dyDescent="0.25">
      <c r="A14" s="5" t="s">
        <v>14</v>
      </c>
      <c r="B14" s="6" t="s">
        <v>11</v>
      </c>
      <c r="C14" s="7">
        <v>10.02</v>
      </c>
      <c r="D14" s="6"/>
      <c r="E14" s="6">
        <f>C14*D14</f>
        <v>0</v>
      </c>
    </row>
    <row r="15" spans="1:5" x14ac:dyDescent="0.25">
      <c r="A15" s="5" t="s">
        <v>15</v>
      </c>
      <c r="B15" s="6" t="s">
        <v>11</v>
      </c>
      <c r="C15" s="7">
        <f>21.32</f>
        <v>21.32</v>
      </c>
      <c r="D15" s="6"/>
      <c r="E15" s="6">
        <f>C15*D15</f>
        <v>0</v>
      </c>
    </row>
    <row r="16" spans="1:5" ht="13" x14ac:dyDescent="0.25">
      <c r="A16" s="66" t="s">
        <v>16</v>
      </c>
      <c r="B16" s="67"/>
      <c r="C16" s="67"/>
      <c r="D16" s="68"/>
      <c r="E16" s="4">
        <f>SUM(E11:E15)</f>
        <v>0</v>
      </c>
    </row>
    <row r="17" spans="1:5" ht="13" x14ac:dyDescent="0.25">
      <c r="A17" s="76" t="s">
        <v>17</v>
      </c>
      <c r="B17" s="77"/>
      <c r="C17" s="77"/>
      <c r="D17" s="77"/>
      <c r="E17" s="78"/>
    </row>
    <row r="18" spans="1:5" x14ac:dyDescent="0.25">
      <c r="A18" s="5" t="s">
        <v>18</v>
      </c>
      <c r="B18" s="6" t="s">
        <v>11</v>
      </c>
      <c r="C18" s="7">
        <f>0.6*0.6*0.05*14*1.1</f>
        <v>0.2772</v>
      </c>
      <c r="D18" s="6"/>
      <c r="E18" s="6">
        <f t="shared" ref="E18:E19" si="0">C18*D18</f>
        <v>0</v>
      </c>
    </row>
    <row r="19" spans="1:5" x14ac:dyDescent="0.25">
      <c r="A19" s="5" t="s">
        <v>19</v>
      </c>
      <c r="B19" s="6" t="s">
        <v>11</v>
      </c>
      <c r="C19" s="7">
        <f>33*0.6*0.05</f>
        <v>0.9900000000000001</v>
      </c>
      <c r="D19" s="6"/>
      <c r="E19" s="6">
        <f t="shared" si="0"/>
        <v>0</v>
      </c>
    </row>
    <row r="20" spans="1:5" x14ac:dyDescent="0.25">
      <c r="A20" s="5" t="s">
        <v>20</v>
      </c>
      <c r="B20" s="6" t="s">
        <v>11</v>
      </c>
      <c r="C20" s="7">
        <f>0.7*0.7*0.35*14*1.1</f>
        <v>2.6410999999999993</v>
      </c>
      <c r="D20" s="6"/>
      <c r="E20" s="6">
        <f>C20*D20</f>
        <v>0</v>
      </c>
    </row>
    <row r="21" spans="1:5" x14ac:dyDescent="0.25">
      <c r="A21" s="5" t="s">
        <v>21</v>
      </c>
      <c r="B21" s="6" t="s">
        <v>11</v>
      </c>
      <c r="C21" s="7">
        <f>14*1.5*0.2*0.2*1.1</f>
        <v>0.92400000000000015</v>
      </c>
      <c r="D21" s="6"/>
      <c r="E21" s="6">
        <f>C21*D21</f>
        <v>0</v>
      </c>
    </row>
    <row r="22" spans="1:5" x14ac:dyDescent="0.25">
      <c r="A22" s="5" t="s">
        <v>194</v>
      </c>
      <c r="B22" s="6" t="s">
        <v>11</v>
      </c>
      <c r="C22" s="7">
        <f>33*0.15*0.3*1.1</f>
        <v>1.6335000000000002</v>
      </c>
      <c r="D22" s="6"/>
      <c r="E22" s="6">
        <f>C22*D22</f>
        <v>0</v>
      </c>
    </row>
    <row r="23" spans="1:5" x14ac:dyDescent="0.25">
      <c r="A23" s="5" t="s">
        <v>22</v>
      </c>
      <c r="B23" s="6" t="s">
        <v>23</v>
      </c>
      <c r="C23" s="7">
        <f>33*0.8*1.1</f>
        <v>29.040000000000006</v>
      </c>
      <c r="D23" s="6"/>
      <c r="E23" s="6">
        <f>D23*C23</f>
        <v>0</v>
      </c>
    </row>
    <row r="24" spans="1:5" ht="13" x14ac:dyDescent="0.25">
      <c r="A24" s="113" t="s">
        <v>24</v>
      </c>
      <c r="B24" s="114"/>
      <c r="C24" s="114"/>
      <c r="D24" s="115"/>
      <c r="E24" s="42">
        <f>SUM(E18:E23)</f>
        <v>0</v>
      </c>
    </row>
    <row r="25" spans="1:5" ht="13" x14ac:dyDescent="0.25">
      <c r="A25" s="76" t="s">
        <v>25</v>
      </c>
      <c r="B25" s="77"/>
      <c r="C25" s="77"/>
      <c r="D25" s="77"/>
      <c r="E25" s="78"/>
    </row>
    <row r="26" spans="1:5" x14ac:dyDescent="0.25">
      <c r="A26" s="5" t="s">
        <v>26</v>
      </c>
      <c r="B26" s="6" t="s">
        <v>23</v>
      </c>
      <c r="C26" s="7">
        <f>49.5*1.1</f>
        <v>54.45</v>
      </c>
      <c r="D26" s="6"/>
      <c r="E26" s="6">
        <f>D26*C26</f>
        <v>0</v>
      </c>
    </row>
    <row r="27" spans="1:5" x14ac:dyDescent="0.25">
      <c r="A27" s="5" t="s">
        <v>27</v>
      </c>
      <c r="B27" s="6" t="s">
        <v>23</v>
      </c>
      <c r="C27" s="7">
        <v>54.45</v>
      </c>
      <c r="D27" s="6"/>
      <c r="E27" s="6">
        <f>D27*C27</f>
        <v>0</v>
      </c>
    </row>
    <row r="28" spans="1:5" ht="13" x14ac:dyDescent="0.25">
      <c r="A28" s="98" t="s">
        <v>28</v>
      </c>
      <c r="B28" s="99"/>
      <c r="C28" s="99"/>
      <c r="D28" s="100"/>
      <c r="E28" s="4">
        <f>SUM(E26:E27)</f>
        <v>0</v>
      </c>
    </row>
    <row r="29" spans="1:5" ht="13" x14ac:dyDescent="0.25">
      <c r="A29" s="76" t="s">
        <v>205</v>
      </c>
      <c r="B29" s="77"/>
      <c r="C29" s="77"/>
      <c r="D29" s="77"/>
      <c r="E29" s="78"/>
    </row>
    <row r="30" spans="1:5" x14ac:dyDescent="0.25">
      <c r="A30" s="5" t="s">
        <v>29</v>
      </c>
      <c r="B30" s="6" t="s">
        <v>11</v>
      </c>
      <c r="C30" s="7">
        <f>12*0.15*0.2*1.1</f>
        <v>0.39600000000000002</v>
      </c>
      <c r="D30" s="6"/>
      <c r="E30" s="6">
        <f>+C30*D30</f>
        <v>0</v>
      </c>
    </row>
    <row r="31" spans="1:5" x14ac:dyDescent="0.25">
      <c r="A31" s="5" t="s">
        <v>30</v>
      </c>
      <c r="B31" s="6" t="s">
        <v>11</v>
      </c>
      <c r="C31" s="7">
        <f>12*0.6*0.08*1.1</f>
        <v>0.63360000000000005</v>
      </c>
      <c r="D31" s="6"/>
      <c r="E31" s="6">
        <f t="shared" ref="E31:E36" si="1">C31*D31</f>
        <v>0</v>
      </c>
    </row>
    <row r="32" spans="1:5" x14ac:dyDescent="0.25">
      <c r="A32" s="5" t="s">
        <v>31</v>
      </c>
      <c r="B32" s="6" t="s">
        <v>11</v>
      </c>
      <c r="C32" s="7">
        <f>33*0.4*0.15*1.1</f>
        <v>2.1779999999999999</v>
      </c>
      <c r="D32" s="6"/>
      <c r="E32" s="6">
        <f t="shared" si="1"/>
        <v>0</v>
      </c>
    </row>
    <row r="33" spans="1:5" x14ac:dyDescent="0.25">
      <c r="A33" s="5" t="s">
        <v>221</v>
      </c>
      <c r="B33" s="6" t="s">
        <v>23</v>
      </c>
      <c r="C33" s="11">
        <v>84</v>
      </c>
      <c r="D33" s="6"/>
      <c r="E33" s="6">
        <f t="shared" si="1"/>
        <v>0</v>
      </c>
    </row>
    <row r="34" spans="1:5" x14ac:dyDescent="0.25">
      <c r="A34" s="5" t="s">
        <v>33</v>
      </c>
      <c r="B34" s="6" t="s">
        <v>11</v>
      </c>
      <c r="C34" s="7">
        <f>(14*4*0.2*0.2*1.1)</f>
        <v>2.4640000000000004</v>
      </c>
      <c r="D34" s="6"/>
      <c r="E34" s="6">
        <f t="shared" si="1"/>
        <v>0</v>
      </c>
    </row>
    <row r="35" spans="1:5" x14ac:dyDescent="0.25">
      <c r="A35" s="5" t="s">
        <v>197</v>
      </c>
      <c r="B35" s="6" t="s">
        <v>11</v>
      </c>
      <c r="C35" s="7">
        <f>2.23*1*0.25*1.1</f>
        <v>0.61325000000000007</v>
      </c>
      <c r="D35" s="6"/>
      <c r="E35" s="6">
        <f t="shared" si="1"/>
        <v>0</v>
      </c>
    </row>
    <row r="36" spans="1:5" x14ac:dyDescent="0.25">
      <c r="A36" s="8" t="s">
        <v>34</v>
      </c>
      <c r="B36" s="9" t="s">
        <v>11</v>
      </c>
      <c r="C36" s="10">
        <f>17*0.6*0.2*1.1</f>
        <v>2.2440000000000002</v>
      </c>
      <c r="D36" s="9"/>
      <c r="E36" s="9">
        <f t="shared" si="1"/>
        <v>0</v>
      </c>
    </row>
    <row r="37" spans="1:5" ht="13" x14ac:dyDescent="0.25">
      <c r="A37" s="66" t="s">
        <v>35</v>
      </c>
      <c r="B37" s="67"/>
      <c r="C37" s="67"/>
      <c r="D37" s="68"/>
      <c r="E37" s="4">
        <f>SUM(E30:E36)</f>
        <v>0</v>
      </c>
    </row>
    <row r="38" spans="1:5" ht="13" x14ac:dyDescent="0.25">
      <c r="A38" s="76" t="s">
        <v>206</v>
      </c>
      <c r="B38" s="77"/>
      <c r="C38" s="77"/>
      <c r="D38" s="77"/>
      <c r="E38" s="78"/>
    </row>
    <row r="39" spans="1:5" x14ac:dyDescent="0.25">
      <c r="A39" s="5" t="s">
        <v>36</v>
      </c>
      <c r="B39" s="6" t="s">
        <v>23</v>
      </c>
      <c r="C39" s="7">
        <f>33*4*1.1</f>
        <v>145.20000000000002</v>
      </c>
      <c r="D39" s="6"/>
      <c r="E39" s="6">
        <f>C39*D39</f>
        <v>0</v>
      </c>
    </row>
    <row r="40" spans="1:5" ht="13" x14ac:dyDescent="0.25">
      <c r="A40" s="66" t="s">
        <v>37</v>
      </c>
      <c r="B40" s="67"/>
      <c r="C40" s="67"/>
      <c r="D40" s="68"/>
      <c r="E40" s="4">
        <f>E39</f>
        <v>0</v>
      </c>
    </row>
    <row r="41" spans="1:5" ht="13" x14ac:dyDescent="0.25">
      <c r="A41" s="76" t="s">
        <v>207</v>
      </c>
      <c r="B41" s="77"/>
      <c r="C41" s="77"/>
      <c r="D41" s="77"/>
      <c r="E41" s="78"/>
    </row>
    <row r="42" spans="1:5" x14ac:dyDescent="0.25">
      <c r="A42" s="5" t="s">
        <v>223</v>
      </c>
      <c r="B42" s="6" t="s">
        <v>23</v>
      </c>
      <c r="C42" s="7">
        <v>102.16</v>
      </c>
      <c r="D42" s="6"/>
      <c r="E42" s="6">
        <f>C42*D42</f>
        <v>0</v>
      </c>
    </row>
    <row r="43" spans="1:5" x14ac:dyDescent="0.25">
      <c r="A43" s="5" t="s">
        <v>38</v>
      </c>
      <c r="B43" s="6" t="s">
        <v>23</v>
      </c>
      <c r="C43" s="7">
        <f>+C39</f>
        <v>145.20000000000002</v>
      </c>
      <c r="D43" s="6"/>
      <c r="E43" s="6">
        <f>C43*D43</f>
        <v>0</v>
      </c>
    </row>
    <row r="44" spans="1:5" x14ac:dyDescent="0.25">
      <c r="A44" s="5" t="s">
        <v>39</v>
      </c>
      <c r="B44" s="6" t="s">
        <v>23</v>
      </c>
      <c r="C44" s="7">
        <f>17*4*1.1</f>
        <v>74.800000000000011</v>
      </c>
      <c r="D44" s="6"/>
      <c r="E44" s="6">
        <f>C44*D44</f>
        <v>0</v>
      </c>
    </row>
    <row r="45" spans="1:5" x14ac:dyDescent="0.25">
      <c r="A45" s="5" t="s">
        <v>40</v>
      </c>
      <c r="B45" s="6" t="s">
        <v>23</v>
      </c>
      <c r="C45" s="7">
        <f>+C33</f>
        <v>84</v>
      </c>
      <c r="D45" s="6"/>
      <c r="E45" s="6">
        <f>C45*D45</f>
        <v>0</v>
      </c>
    </row>
    <row r="46" spans="1:5" ht="13" x14ac:dyDescent="0.25">
      <c r="A46" s="66" t="s">
        <v>41</v>
      </c>
      <c r="B46" s="67"/>
      <c r="C46" s="67"/>
      <c r="D46" s="68"/>
      <c r="E46" s="4">
        <f>SUM(E42:E45)</f>
        <v>0</v>
      </c>
    </row>
    <row r="47" spans="1:5" ht="13" x14ac:dyDescent="0.25">
      <c r="A47" s="104" t="s">
        <v>198</v>
      </c>
      <c r="B47" s="105"/>
      <c r="C47" s="105"/>
      <c r="D47" s="106"/>
      <c r="E47" s="14">
        <f>E46+E40+E37+E28+E24+E16</f>
        <v>0</v>
      </c>
    </row>
    <row r="48" spans="1:5" x14ac:dyDescent="0.25">
      <c r="C48" s="1"/>
    </row>
    <row r="49" spans="1:5" ht="13" x14ac:dyDescent="0.25">
      <c r="A49" s="69" t="s">
        <v>43</v>
      </c>
      <c r="B49" s="70"/>
      <c r="C49" s="70"/>
      <c r="D49" s="70"/>
      <c r="E49" s="71"/>
    </row>
    <row r="50" spans="1:5" ht="26.5" customHeight="1" x14ac:dyDescent="0.25">
      <c r="A50" s="101" t="s">
        <v>299</v>
      </c>
      <c r="B50" s="102"/>
      <c r="C50" s="102"/>
      <c r="D50" s="102"/>
      <c r="E50" s="103"/>
    </row>
    <row r="51" spans="1:5" ht="13" x14ac:dyDescent="0.25">
      <c r="A51" s="66" t="s">
        <v>44</v>
      </c>
      <c r="B51" s="67"/>
      <c r="C51" s="67"/>
      <c r="D51" s="67"/>
      <c r="E51" s="68"/>
    </row>
    <row r="52" spans="1:5" x14ac:dyDescent="0.25">
      <c r="A52" s="5" t="s">
        <v>217</v>
      </c>
      <c r="B52" s="6" t="s">
        <v>23</v>
      </c>
      <c r="C52" s="7">
        <f>+C45</f>
        <v>84</v>
      </c>
      <c r="D52" s="6"/>
      <c r="E52" s="6">
        <f>C52*D52</f>
        <v>0</v>
      </c>
    </row>
    <row r="53" spans="1:5" x14ac:dyDescent="0.25">
      <c r="A53" s="5" t="s">
        <v>222</v>
      </c>
      <c r="B53" s="6" t="s">
        <v>23</v>
      </c>
      <c r="C53" s="7">
        <v>171</v>
      </c>
      <c r="D53" s="6"/>
      <c r="E53" s="6">
        <f>C53*D53</f>
        <v>0</v>
      </c>
    </row>
    <row r="54" spans="1:5" ht="25" customHeight="1" x14ac:dyDescent="0.25">
      <c r="A54" s="5" t="s">
        <v>306</v>
      </c>
      <c r="B54" s="6" t="s">
        <v>23</v>
      </c>
      <c r="C54" s="7">
        <f>9.5*1.1</f>
        <v>10.450000000000001</v>
      </c>
      <c r="D54" s="6"/>
      <c r="E54" s="6">
        <f>D54*C54</f>
        <v>0</v>
      </c>
    </row>
    <row r="55" spans="1:5" x14ac:dyDescent="0.25">
      <c r="A55" s="5" t="s">
        <v>208</v>
      </c>
      <c r="B55" s="6" t="s">
        <v>23</v>
      </c>
      <c r="C55" s="7">
        <f>+C42</f>
        <v>102.16</v>
      </c>
      <c r="D55" s="6"/>
      <c r="E55" s="6">
        <f>C55*D55</f>
        <v>0</v>
      </c>
    </row>
    <row r="56" spans="1:5" x14ac:dyDescent="0.25">
      <c r="A56" s="5" t="s">
        <v>47</v>
      </c>
      <c r="B56" s="6" t="s">
        <v>48</v>
      </c>
      <c r="C56" s="7">
        <v>51</v>
      </c>
      <c r="D56" s="6"/>
      <c r="E56" s="6">
        <f>C56*D56</f>
        <v>0</v>
      </c>
    </row>
    <row r="57" spans="1:5" ht="13" x14ac:dyDescent="0.25">
      <c r="A57" s="116" t="s">
        <v>50</v>
      </c>
      <c r="B57" s="117"/>
      <c r="C57" s="117"/>
      <c r="D57" s="118"/>
      <c r="E57" s="12">
        <f>SUM(E52:E56)</f>
        <v>0</v>
      </c>
    </row>
    <row r="58" spans="1:5" ht="13" x14ac:dyDescent="0.25">
      <c r="A58" s="76" t="s">
        <v>51</v>
      </c>
      <c r="B58" s="77"/>
      <c r="C58" s="77"/>
      <c r="D58" s="77"/>
      <c r="E58" s="78"/>
    </row>
    <row r="59" spans="1:5" x14ac:dyDescent="0.25">
      <c r="A59" s="101" t="s">
        <v>52</v>
      </c>
      <c r="B59" s="102"/>
      <c r="C59" s="102"/>
      <c r="D59" s="102"/>
      <c r="E59" s="103"/>
    </row>
    <row r="60" spans="1:5" x14ac:dyDescent="0.25">
      <c r="A60" s="5" t="s">
        <v>53</v>
      </c>
      <c r="B60" s="6" t="s">
        <v>23</v>
      </c>
      <c r="C60" s="7">
        <v>344.4</v>
      </c>
      <c r="D60" s="6"/>
      <c r="E60" s="6">
        <f>D60*C60</f>
        <v>0</v>
      </c>
    </row>
    <row r="61" spans="1:5" ht="25" x14ac:dyDescent="0.25">
      <c r="A61" s="5" t="s">
        <v>54</v>
      </c>
      <c r="B61" s="6" t="s">
        <v>23</v>
      </c>
      <c r="C61" s="7">
        <v>187.2</v>
      </c>
      <c r="D61" s="6"/>
      <c r="E61" s="6">
        <f>C61*D61</f>
        <v>0</v>
      </c>
    </row>
    <row r="62" spans="1:5" ht="25" x14ac:dyDescent="0.25">
      <c r="A62" s="5" t="s">
        <v>55</v>
      </c>
      <c r="B62" s="6" t="s">
        <v>23</v>
      </c>
      <c r="C62" s="7">
        <v>74.2</v>
      </c>
      <c r="D62" s="6"/>
      <c r="E62" s="6">
        <f>C62*D62</f>
        <v>0</v>
      </c>
    </row>
    <row r="63" spans="1:5" ht="25" x14ac:dyDescent="0.25">
      <c r="A63" s="8" t="s">
        <v>56</v>
      </c>
      <c r="B63" s="9" t="s">
        <v>23</v>
      </c>
      <c r="C63" s="10">
        <v>180</v>
      </c>
      <c r="D63" s="9"/>
      <c r="E63" s="9">
        <f>+D63*C63</f>
        <v>0</v>
      </c>
    </row>
    <row r="64" spans="1:5" ht="25" x14ac:dyDescent="0.25">
      <c r="A64" s="5" t="s">
        <v>57</v>
      </c>
      <c r="B64" s="6" t="s">
        <v>23</v>
      </c>
      <c r="C64" s="7">
        <v>26.4</v>
      </c>
      <c r="D64" s="6"/>
      <c r="E64" s="6">
        <f>C64*D64</f>
        <v>0</v>
      </c>
    </row>
    <row r="65" spans="1:5" ht="18" customHeight="1" x14ac:dyDescent="0.25">
      <c r="A65" s="85" t="s">
        <v>58</v>
      </c>
      <c r="B65" s="86"/>
      <c r="C65" s="86"/>
      <c r="D65" s="87"/>
      <c r="E65" s="12">
        <f>SUM(E60:E64)</f>
        <v>0</v>
      </c>
    </row>
    <row r="66" spans="1:5" ht="13" x14ac:dyDescent="0.25">
      <c r="A66" s="76" t="s">
        <v>63</v>
      </c>
      <c r="B66" s="77"/>
      <c r="C66" s="77"/>
      <c r="D66" s="77"/>
      <c r="E66" s="78"/>
    </row>
    <row r="67" spans="1:5" ht="13" x14ac:dyDescent="0.25">
      <c r="A67" s="66" t="s">
        <v>64</v>
      </c>
      <c r="B67" s="67"/>
      <c r="C67" s="67"/>
      <c r="D67" s="67"/>
      <c r="E67" s="68"/>
    </row>
    <row r="68" spans="1:5" ht="13" x14ac:dyDescent="0.25">
      <c r="A68" s="66" t="s">
        <v>65</v>
      </c>
      <c r="B68" s="67"/>
      <c r="C68" s="67"/>
      <c r="D68" s="67"/>
      <c r="E68" s="68"/>
    </row>
    <row r="69" spans="1:5" x14ac:dyDescent="0.25">
      <c r="A69" s="5" t="s">
        <v>66</v>
      </c>
      <c r="B69" s="6"/>
      <c r="C69" s="7"/>
      <c r="D69" s="6"/>
      <c r="E69" s="6"/>
    </row>
    <row r="70" spans="1:5" x14ac:dyDescent="0.25">
      <c r="A70" s="5" t="s">
        <v>67</v>
      </c>
      <c r="B70" s="6" t="s">
        <v>68</v>
      </c>
      <c r="C70" s="7">
        <v>2</v>
      </c>
      <c r="D70" s="6"/>
      <c r="E70" s="6">
        <f>D70*C70</f>
        <v>0</v>
      </c>
    </row>
    <row r="71" spans="1:5" x14ac:dyDescent="0.25">
      <c r="A71" s="5" t="s">
        <v>236</v>
      </c>
      <c r="B71" s="6" t="s">
        <v>68</v>
      </c>
      <c r="C71" s="7">
        <v>2</v>
      </c>
      <c r="D71" s="6"/>
      <c r="E71" s="6">
        <f t="shared" ref="E71:E73" si="2">D71*C71</f>
        <v>0</v>
      </c>
    </row>
    <row r="72" spans="1:5" x14ac:dyDescent="0.25">
      <c r="A72" s="5" t="s">
        <v>237</v>
      </c>
      <c r="B72" s="6" t="s">
        <v>68</v>
      </c>
      <c r="C72" s="7">
        <v>3</v>
      </c>
      <c r="D72" s="6"/>
      <c r="E72" s="6">
        <f t="shared" si="2"/>
        <v>0</v>
      </c>
    </row>
    <row r="73" spans="1:5" ht="18" customHeight="1" x14ac:dyDescent="0.25">
      <c r="A73" s="5" t="s">
        <v>238</v>
      </c>
      <c r="B73" s="6" t="s">
        <v>68</v>
      </c>
      <c r="C73" s="7">
        <v>1</v>
      </c>
      <c r="D73" s="6"/>
      <c r="E73" s="6">
        <f t="shared" si="2"/>
        <v>0</v>
      </c>
    </row>
    <row r="74" spans="1:5" ht="13" x14ac:dyDescent="0.25">
      <c r="A74" s="116" t="s">
        <v>71</v>
      </c>
      <c r="B74" s="117"/>
      <c r="C74" s="117"/>
      <c r="D74" s="118"/>
      <c r="E74" s="12">
        <f>SUM(E70:E73)</f>
        <v>0</v>
      </c>
    </row>
    <row r="75" spans="1:5" ht="13" x14ac:dyDescent="0.25">
      <c r="A75" s="76" t="s">
        <v>74</v>
      </c>
      <c r="B75" s="77"/>
      <c r="C75" s="77"/>
      <c r="D75" s="77"/>
      <c r="E75" s="78"/>
    </row>
    <row r="76" spans="1:5" ht="13" x14ac:dyDescent="0.25">
      <c r="A76" s="66" t="s">
        <v>75</v>
      </c>
      <c r="B76" s="67"/>
      <c r="C76" s="67"/>
      <c r="D76" s="67"/>
      <c r="E76" s="68"/>
    </row>
    <row r="77" spans="1:5" ht="13" x14ac:dyDescent="0.25">
      <c r="A77" s="95" t="s">
        <v>183</v>
      </c>
      <c r="B77" s="96"/>
      <c r="C77" s="96"/>
      <c r="D77" s="96"/>
      <c r="E77" s="97"/>
    </row>
    <row r="78" spans="1:5" ht="18" customHeight="1" x14ac:dyDescent="0.25">
      <c r="A78" s="8" t="s">
        <v>184</v>
      </c>
      <c r="B78" s="9" t="s">
        <v>68</v>
      </c>
      <c r="C78" s="10">
        <v>2</v>
      </c>
      <c r="D78" s="9"/>
      <c r="E78" s="9">
        <f t="shared" ref="E78:E79" si="3">C78*D78</f>
        <v>0</v>
      </c>
    </row>
    <row r="79" spans="1:5" ht="18" customHeight="1" x14ac:dyDescent="0.25">
      <c r="A79" s="8" t="s">
        <v>239</v>
      </c>
      <c r="B79" s="9" t="s">
        <v>68</v>
      </c>
      <c r="C79" s="10">
        <v>4</v>
      </c>
      <c r="D79" s="9"/>
      <c r="E79" s="9">
        <f t="shared" si="3"/>
        <v>0</v>
      </c>
    </row>
    <row r="80" spans="1:5" ht="25" x14ac:dyDescent="0.25">
      <c r="A80" s="8" t="s">
        <v>240</v>
      </c>
      <c r="B80" s="9" t="s">
        <v>68</v>
      </c>
      <c r="C80" s="10">
        <v>1</v>
      </c>
      <c r="D80" s="9"/>
      <c r="E80" s="9">
        <f>C80*D80</f>
        <v>0</v>
      </c>
    </row>
    <row r="81" spans="1:5" ht="13" x14ac:dyDescent="0.25">
      <c r="A81" s="98" t="s">
        <v>241</v>
      </c>
      <c r="B81" s="99"/>
      <c r="C81" s="99"/>
      <c r="D81" s="100"/>
      <c r="E81" s="4">
        <f>+SUM(E78:E80)</f>
        <v>0</v>
      </c>
    </row>
    <row r="82" spans="1:5" ht="13" x14ac:dyDescent="0.25">
      <c r="A82" s="66" t="s">
        <v>65</v>
      </c>
      <c r="B82" s="67"/>
      <c r="C82" s="67"/>
      <c r="D82" s="67"/>
      <c r="E82" s="68"/>
    </row>
    <row r="83" spans="1:5" x14ac:dyDescent="0.25">
      <c r="A83" s="5" t="s">
        <v>242</v>
      </c>
      <c r="B83" s="6" t="s">
        <v>68</v>
      </c>
      <c r="C83" s="7">
        <v>5</v>
      </c>
      <c r="D83" s="6"/>
      <c r="E83" s="6">
        <f t="shared" ref="E83:E84" si="4">D83*C83</f>
        <v>0</v>
      </c>
    </row>
    <row r="84" spans="1:5" ht="18" customHeight="1" x14ac:dyDescent="0.25">
      <c r="A84" s="5" t="s">
        <v>243</v>
      </c>
      <c r="B84" s="6" t="s">
        <v>68</v>
      </c>
      <c r="C84" s="7">
        <v>2</v>
      </c>
      <c r="D84" s="6"/>
      <c r="E84" s="6">
        <f t="shared" si="4"/>
        <v>0</v>
      </c>
    </row>
    <row r="85" spans="1:5" ht="13" x14ac:dyDescent="0.25">
      <c r="A85" s="98" t="s">
        <v>241</v>
      </c>
      <c r="B85" s="99"/>
      <c r="C85" s="99"/>
      <c r="D85" s="100"/>
      <c r="E85" s="4">
        <f>SUM(E83:E84)</f>
        <v>0</v>
      </c>
    </row>
    <row r="86" spans="1:5" ht="13" x14ac:dyDescent="0.25">
      <c r="A86" s="95" t="s">
        <v>244</v>
      </c>
      <c r="B86" s="96"/>
      <c r="C86" s="96"/>
      <c r="D86" s="96"/>
      <c r="E86" s="97"/>
    </row>
    <row r="87" spans="1:5" x14ac:dyDescent="0.25">
      <c r="A87" s="5" t="s">
        <v>245</v>
      </c>
      <c r="B87" s="6" t="s">
        <v>68</v>
      </c>
      <c r="C87" s="7">
        <v>5</v>
      </c>
      <c r="D87" s="6"/>
      <c r="E87" s="6">
        <f>D87*C87</f>
        <v>0</v>
      </c>
    </row>
    <row r="88" spans="1:5" x14ac:dyDescent="0.25">
      <c r="A88" s="5" t="s">
        <v>246</v>
      </c>
      <c r="B88" s="6" t="s">
        <v>68</v>
      </c>
      <c r="C88" s="7">
        <v>2</v>
      </c>
      <c r="D88" s="6"/>
      <c r="E88" s="6">
        <f>D88*C88</f>
        <v>0</v>
      </c>
    </row>
    <row r="89" spans="1:5" ht="13" x14ac:dyDescent="0.25">
      <c r="A89" s="98" t="s">
        <v>77</v>
      </c>
      <c r="B89" s="99"/>
      <c r="C89" s="99"/>
      <c r="D89" s="100"/>
      <c r="E89" s="4">
        <f>SUM(E87:E88)</f>
        <v>0</v>
      </c>
    </row>
    <row r="90" spans="1:5" ht="13" x14ac:dyDescent="0.25">
      <c r="A90" s="85" t="s">
        <v>78</v>
      </c>
      <c r="B90" s="86"/>
      <c r="C90" s="86"/>
      <c r="D90" s="87"/>
      <c r="E90" s="12">
        <f>E89+E81+E85</f>
        <v>0</v>
      </c>
    </row>
    <row r="91" spans="1:5" ht="13" x14ac:dyDescent="0.25">
      <c r="A91" s="76" t="s">
        <v>79</v>
      </c>
      <c r="B91" s="77"/>
      <c r="C91" s="77"/>
      <c r="D91" s="77"/>
      <c r="E91" s="78"/>
    </row>
    <row r="92" spans="1:5" ht="25" x14ac:dyDescent="0.25">
      <c r="A92" s="5" t="s">
        <v>80</v>
      </c>
      <c r="B92" s="6" t="s">
        <v>81</v>
      </c>
      <c r="C92" s="7">
        <v>1</v>
      </c>
      <c r="D92" s="6"/>
      <c r="E92" s="6">
        <f t="shared" ref="E92:E94" si="5">+D92*C92</f>
        <v>0</v>
      </c>
    </row>
    <row r="93" spans="1:5" ht="13" x14ac:dyDescent="0.25">
      <c r="A93" s="66" t="s">
        <v>82</v>
      </c>
      <c r="B93" s="67"/>
      <c r="C93" s="67"/>
      <c r="D93" s="67"/>
      <c r="E93" s="68"/>
    </row>
    <row r="94" spans="1:5" x14ac:dyDescent="0.25">
      <c r="A94" s="8" t="s">
        <v>247</v>
      </c>
      <c r="B94" s="9" t="s">
        <v>81</v>
      </c>
      <c r="C94" s="10">
        <v>2</v>
      </c>
      <c r="D94" s="9"/>
      <c r="E94" s="9">
        <f t="shared" si="5"/>
        <v>0</v>
      </c>
    </row>
    <row r="95" spans="1:5" ht="18" customHeight="1" x14ac:dyDescent="0.25">
      <c r="A95" s="95" t="s">
        <v>86</v>
      </c>
      <c r="B95" s="96"/>
      <c r="C95" s="96"/>
      <c r="D95" s="96"/>
      <c r="E95" s="97"/>
    </row>
    <row r="96" spans="1:5" x14ac:dyDescent="0.25">
      <c r="A96" s="8" t="s">
        <v>87</v>
      </c>
      <c r="B96" s="9" t="s">
        <v>6</v>
      </c>
      <c r="C96" s="10">
        <v>1</v>
      </c>
      <c r="D96" s="9"/>
      <c r="E96" s="9">
        <f>+D96*C96</f>
        <v>0</v>
      </c>
    </row>
    <row r="97" spans="1:5" ht="18" customHeight="1" x14ac:dyDescent="0.25">
      <c r="A97" s="8" t="s">
        <v>88</v>
      </c>
      <c r="B97" s="9" t="s">
        <v>48</v>
      </c>
      <c r="C97" s="10">
        <v>80</v>
      </c>
      <c r="D97" s="9"/>
      <c r="E97" s="9">
        <f t="shared" ref="E97:E114" si="6">+D97*C97</f>
        <v>0</v>
      </c>
    </row>
    <row r="98" spans="1:5" ht="18" customHeight="1" x14ac:dyDescent="0.25">
      <c r="A98" s="8" t="s">
        <v>89</v>
      </c>
      <c r="B98" s="9" t="s">
        <v>48</v>
      </c>
      <c r="C98" s="10">
        <v>120</v>
      </c>
      <c r="D98" s="9"/>
      <c r="E98" s="9">
        <f t="shared" si="6"/>
        <v>0</v>
      </c>
    </row>
    <row r="99" spans="1:5" x14ac:dyDescent="0.25">
      <c r="A99" s="8" t="s">
        <v>90</v>
      </c>
      <c r="B99" s="9" t="s">
        <v>48</v>
      </c>
      <c r="C99" s="10">
        <v>120</v>
      </c>
      <c r="D99" s="9"/>
      <c r="E99" s="9">
        <f t="shared" si="6"/>
        <v>0</v>
      </c>
    </row>
    <row r="100" spans="1:5" x14ac:dyDescent="0.25">
      <c r="A100" s="8" t="s">
        <v>185</v>
      </c>
      <c r="B100" s="9" t="s">
        <v>48</v>
      </c>
      <c r="C100" s="10">
        <v>10</v>
      </c>
      <c r="D100" s="9"/>
      <c r="E100" s="9">
        <f t="shared" si="6"/>
        <v>0</v>
      </c>
    </row>
    <row r="101" spans="1:5" x14ac:dyDescent="0.25">
      <c r="A101" s="8" t="s">
        <v>91</v>
      </c>
      <c r="B101" s="9" t="s">
        <v>48</v>
      </c>
      <c r="C101" s="10">
        <v>10</v>
      </c>
      <c r="D101" s="9"/>
      <c r="E101" s="9">
        <f t="shared" si="6"/>
        <v>0</v>
      </c>
    </row>
    <row r="102" spans="1:5" x14ac:dyDescent="0.25">
      <c r="A102" s="5" t="s">
        <v>93</v>
      </c>
      <c r="B102" s="6" t="s">
        <v>68</v>
      </c>
      <c r="C102" s="7">
        <v>8</v>
      </c>
      <c r="D102" s="6"/>
      <c r="E102" s="6">
        <f t="shared" si="6"/>
        <v>0</v>
      </c>
    </row>
    <row r="103" spans="1:5" x14ac:dyDescent="0.25">
      <c r="A103" s="5" t="s">
        <v>94</v>
      </c>
      <c r="B103" s="6" t="s">
        <v>68</v>
      </c>
      <c r="C103" s="7">
        <v>4</v>
      </c>
      <c r="D103" s="6"/>
      <c r="E103" s="6">
        <f t="shared" si="6"/>
        <v>0</v>
      </c>
    </row>
    <row r="104" spans="1:5" x14ac:dyDescent="0.25">
      <c r="A104" s="5" t="s">
        <v>95</v>
      </c>
      <c r="B104" s="6" t="s">
        <v>68</v>
      </c>
      <c r="C104" s="7">
        <v>2</v>
      </c>
      <c r="D104" s="6"/>
      <c r="E104" s="6">
        <f t="shared" si="6"/>
        <v>0</v>
      </c>
    </row>
    <row r="105" spans="1:5" x14ac:dyDescent="0.25">
      <c r="A105" s="5" t="s">
        <v>98</v>
      </c>
      <c r="B105" s="6" t="s">
        <v>68</v>
      </c>
      <c r="C105" s="7">
        <v>8</v>
      </c>
      <c r="D105" s="6"/>
      <c r="E105" s="6">
        <f t="shared" si="6"/>
        <v>0</v>
      </c>
    </row>
    <row r="106" spans="1:5" x14ac:dyDescent="0.25">
      <c r="A106" s="5" t="s">
        <v>99</v>
      </c>
      <c r="B106" s="6" t="s">
        <v>68</v>
      </c>
      <c r="C106" s="7">
        <v>2</v>
      </c>
      <c r="D106" s="6"/>
      <c r="E106" s="6">
        <f t="shared" si="6"/>
        <v>0</v>
      </c>
    </row>
    <row r="107" spans="1:5" x14ac:dyDescent="0.25">
      <c r="A107" s="5" t="s">
        <v>100</v>
      </c>
      <c r="B107" s="6" t="s">
        <v>68</v>
      </c>
      <c r="C107" s="7">
        <v>2</v>
      </c>
      <c r="D107" s="6"/>
      <c r="E107" s="6">
        <f t="shared" si="6"/>
        <v>0</v>
      </c>
    </row>
    <row r="108" spans="1:5" x14ac:dyDescent="0.25">
      <c r="A108" s="5" t="s">
        <v>101</v>
      </c>
      <c r="B108" s="6" t="s">
        <v>68</v>
      </c>
      <c r="C108" s="7">
        <v>2</v>
      </c>
      <c r="D108" s="6"/>
      <c r="E108" s="6">
        <f t="shared" si="6"/>
        <v>0</v>
      </c>
    </row>
    <row r="109" spans="1:5" x14ac:dyDescent="0.25">
      <c r="A109" s="5" t="s">
        <v>102</v>
      </c>
      <c r="B109" s="6" t="s">
        <v>68</v>
      </c>
      <c r="C109" s="7">
        <v>2</v>
      </c>
      <c r="D109" s="6"/>
      <c r="E109" s="6">
        <f t="shared" si="6"/>
        <v>0</v>
      </c>
    </row>
    <row r="110" spans="1:5" x14ac:dyDescent="0.25">
      <c r="A110" s="5" t="s">
        <v>103</v>
      </c>
      <c r="B110" s="6" t="s">
        <v>68</v>
      </c>
      <c r="C110" s="7">
        <v>2</v>
      </c>
      <c r="D110" s="6"/>
      <c r="E110" s="6">
        <f t="shared" si="6"/>
        <v>0</v>
      </c>
    </row>
    <row r="111" spans="1:5" x14ac:dyDescent="0.25">
      <c r="A111" s="5" t="s">
        <v>104</v>
      </c>
      <c r="B111" s="6" t="s">
        <v>68</v>
      </c>
      <c r="C111" s="7">
        <v>4</v>
      </c>
      <c r="D111" s="6"/>
      <c r="E111" s="6">
        <f t="shared" si="6"/>
        <v>0</v>
      </c>
    </row>
    <row r="112" spans="1:5" x14ac:dyDescent="0.25">
      <c r="A112" s="5" t="s">
        <v>105</v>
      </c>
      <c r="B112" s="6" t="s">
        <v>68</v>
      </c>
      <c r="C112" s="7">
        <v>5</v>
      </c>
      <c r="D112" s="6"/>
      <c r="E112" s="6">
        <f t="shared" si="6"/>
        <v>0</v>
      </c>
    </row>
    <row r="113" spans="1:5" ht="50" x14ac:dyDescent="0.25">
      <c r="A113" s="5" t="s">
        <v>106</v>
      </c>
      <c r="B113" s="6" t="s">
        <v>68</v>
      </c>
      <c r="C113" s="7">
        <v>50</v>
      </c>
      <c r="D113" s="6"/>
      <c r="E113" s="6">
        <f t="shared" si="6"/>
        <v>0</v>
      </c>
    </row>
    <row r="114" spans="1:5" x14ac:dyDescent="0.25">
      <c r="A114" s="5" t="s">
        <v>107</v>
      </c>
      <c r="B114" s="6" t="s">
        <v>68</v>
      </c>
      <c r="C114" s="7">
        <v>2</v>
      </c>
      <c r="D114" s="6"/>
      <c r="E114" s="6">
        <f t="shared" si="6"/>
        <v>0</v>
      </c>
    </row>
    <row r="115" spans="1:5" ht="13" x14ac:dyDescent="0.25">
      <c r="A115" s="116" t="s">
        <v>108</v>
      </c>
      <c r="B115" s="117"/>
      <c r="C115" s="117"/>
      <c r="D115" s="118"/>
      <c r="E115" s="12">
        <f>SUM(E92:E114)</f>
        <v>0</v>
      </c>
    </row>
    <row r="116" spans="1:5" ht="13" x14ac:dyDescent="0.25">
      <c r="A116" s="76" t="s">
        <v>109</v>
      </c>
      <c r="B116" s="77"/>
      <c r="C116" s="77"/>
      <c r="D116" s="77"/>
      <c r="E116" s="78"/>
    </row>
    <row r="117" spans="1:5" ht="18" customHeight="1" x14ac:dyDescent="0.25">
      <c r="A117" s="5" t="s">
        <v>307</v>
      </c>
      <c r="B117" s="88" t="s">
        <v>81</v>
      </c>
      <c r="C117" s="91">
        <v>1</v>
      </c>
      <c r="D117" s="88"/>
      <c r="E117" s="94">
        <f>D117*C117</f>
        <v>0</v>
      </c>
    </row>
    <row r="118" spans="1:5" ht="28.5" customHeight="1" x14ac:dyDescent="0.25">
      <c r="A118" s="5" t="s">
        <v>302</v>
      </c>
      <c r="B118" s="89"/>
      <c r="C118" s="92"/>
      <c r="D118" s="89"/>
      <c r="E118" s="94"/>
    </row>
    <row r="119" spans="1:5" ht="25" x14ac:dyDescent="0.25">
      <c r="A119" s="5" t="s">
        <v>303</v>
      </c>
      <c r="B119" s="89"/>
      <c r="C119" s="92"/>
      <c r="D119" s="89"/>
      <c r="E119" s="94"/>
    </row>
    <row r="120" spans="1:5" ht="13" x14ac:dyDescent="0.25">
      <c r="A120" s="116" t="s">
        <v>125</v>
      </c>
      <c r="B120" s="117"/>
      <c r="C120" s="117"/>
      <c r="D120" s="118"/>
      <c r="E120" s="12">
        <f>SUM(E117)</f>
        <v>0</v>
      </c>
    </row>
    <row r="121" spans="1:5" ht="13" x14ac:dyDescent="0.25">
      <c r="A121" s="76" t="s">
        <v>126</v>
      </c>
      <c r="B121" s="77"/>
      <c r="C121" s="77"/>
      <c r="D121" s="77"/>
      <c r="E121" s="78"/>
    </row>
    <row r="122" spans="1:5" ht="50" x14ac:dyDescent="0.25">
      <c r="A122" s="8" t="s">
        <v>127</v>
      </c>
      <c r="B122" s="9" t="s">
        <v>128</v>
      </c>
      <c r="C122" s="10">
        <v>1</v>
      </c>
      <c r="D122" s="9"/>
      <c r="E122" s="9">
        <f>D122*C122</f>
        <v>0</v>
      </c>
    </row>
    <row r="123" spans="1:5" ht="13" x14ac:dyDescent="0.25">
      <c r="A123" s="116" t="s">
        <v>131</v>
      </c>
      <c r="B123" s="117"/>
      <c r="C123" s="117"/>
      <c r="D123" s="118"/>
      <c r="E123" s="12">
        <f>SUM(E122:E122)</f>
        <v>0</v>
      </c>
    </row>
    <row r="124" spans="1:5" ht="13" x14ac:dyDescent="0.25">
      <c r="A124" s="76" t="s">
        <v>132</v>
      </c>
      <c r="B124" s="77"/>
      <c r="C124" s="77"/>
      <c r="D124" s="77"/>
      <c r="E124" s="78"/>
    </row>
    <row r="125" spans="1:5" ht="25" x14ac:dyDescent="0.25">
      <c r="A125" s="8" t="s">
        <v>133</v>
      </c>
      <c r="B125" s="9" t="s">
        <v>68</v>
      </c>
      <c r="C125" s="10">
        <v>2</v>
      </c>
      <c r="D125" s="9"/>
      <c r="E125" s="9">
        <f>D125*C125</f>
        <v>0</v>
      </c>
    </row>
    <row r="126" spans="1:5" ht="25" x14ac:dyDescent="0.25">
      <c r="A126" s="5" t="s">
        <v>134</v>
      </c>
      <c r="B126" s="6" t="s">
        <v>68</v>
      </c>
      <c r="C126" s="7">
        <v>4</v>
      </c>
      <c r="D126" s="6"/>
      <c r="E126" s="6">
        <f>D126*C126</f>
        <v>0</v>
      </c>
    </row>
    <row r="127" spans="1:5" ht="37.5" x14ac:dyDescent="0.25">
      <c r="A127" s="5" t="s">
        <v>135</v>
      </c>
      <c r="B127" s="6" t="s">
        <v>81</v>
      </c>
      <c r="C127" s="7">
        <v>1</v>
      </c>
      <c r="D127" s="6"/>
      <c r="E127" s="6">
        <f>D127*C127</f>
        <v>0</v>
      </c>
    </row>
    <row r="128" spans="1:5" ht="13" x14ac:dyDescent="0.25">
      <c r="A128" s="116" t="s">
        <v>136</v>
      </c>
      <c r="B128" s="117"/>
      <c r="C128" s="117"/>
      <c r="D128" s="118"/>
      <c r="E128" s="12">
        <f>SUM(E125:E127)</f>
        <v>0</v>
      </c>
    </row>
    <row r="129" spans="1:5" ht="13" x14ac:dyDescent="0.25">
      <c r="A129" s="76" t="s">
        <v>138</v>
      </c>
      <c r="B129" s="77"/>
      <c r="C129" s="77"/>
      <c r="D129" s="77"/>
      <c r="E129" s="78"/>
    </row>
    <row r="130" spans="1:5" ht="13" x14ac:dyDescent="0.25">
      <c r="A130" s="66" t="s">
        <v>139</v>
      </c>
      <c r="B130" s="67"/>
      <c r="C130" s="67"/>
      <c r="D130" s="67"/>
      <c r="E130" s="68"/>
    </row>
    <row r="131" spans="1:5" ht="50" x14ac:dyDescent="0.25">
      <c r="A131" s="5" t="s">
        <v>140</v>
      </c>
      <c r="B131" s="6" t="s">
        <v>5</v>
      </c>
      <c r="C131" s="7">
        <v>1</v>
      </c>
      <c r="D131" s="6"/>
      <c r="E131" s="6">
        <f>+D131*C131</f>
        <v>0</v>
      </c>
    </row>
    <row r="132" spans="1:5" ht="13" x14ac:dyDescent="0.25">
      <c r="A132" s="66" t="s">
        <v>141</v>
      </c>
      <c r="B132" s="67"/>
      <c r="C132" s="67"/>
      <c r="D132" s="67"/>
      <c r="E132" s="68"/>
    </row>
    <row r="133" spans="1:5" x14ac:dyDescent="0.25">
      <c r="A133" s="5" t="s">
        <v>142</v>
      </c>
      <c r="B133" s="6" t="s">
        <v>68</v>
      </c>
      <c r="C133" s="7">
        <v>2</v>
      </c>
      <c r="D133" s="6"/>
      <c r="E133" s="6">
        <f>D133*C133</f>
        <v>0</v>
      </c>
    </row>
    <row r="134" spans="1:5" x14ac:dyDescent="0.25">
      <c r="A134" s="5" t="s">
        <v>144</v>
      </c>
      <c r="B134" s="6" t="s">
        <v>68</v>
      </c>
      <c r="C134" s="7">
        <v>2</v>
      </c>
      <c r="D134" s="6"/>
      <c r="E134" s="6">
        <f>D134*C134</f>
        <v>0</v>
      </c>
    </row>
    <row r="135" spans="1:5" ht="25" x14ac:dyDescent="0.25">
      <c r="A135" s="5" t="s">
        <v>145</v>
      </c>
      <c r="B135" s="6" t="s">
        <v>68</v>
      </c>
      <c r="C135" s="7">
        <v>2</v>
      </c>
      <c r="D135" s="6"/>
      <c r="E135" s="6">
        <f>C135*D135</f>
        <v>0</v>
      </c>
    </row>
    <row r="136" spans="1:5" x14ac:dyDescent="0.25">
      <c r="A136" s="5" t="s">
        <v>146</v>
      </c>
      <c r="B136" s="6" t="s">
        <v>68</v>
      </c>
      <c r="C136" s="7">
        <v>2</v>
      </c>
      <c r="D136" s="6"/>
      <c r="E136" s="6">
        <f t="shared" ref="E136:E143" si="7">D136*C136</f>
        <v>0</v>
      </c>
    </row>
    <row r="137" spans="1:5" x14ac:dyDescent="0.25">
      <c r="A137" s="5" t="s">
        <v>147</v>
      </c>
      <c r="B137" s="6" t="s">
        <v>68</v>
      </c>
      <c r="C137" s="7">
        <v>2</v>
      </c>
      <c r="D137" s="6"/>
      <c r="E137" s="6">
        <f t="shared" si="7"/>
        <v>0</v>
      </c>
    </row>
    <row r="138" spans="1:5" x14ac:dyDescent="0.25">
      <c r="A138" s="5" t="s">
        <v>148</v>
      </c>
      <c r="B138" s="6" t="s">
        <v>68</v>
      </c>
      <c r="C138" s="7">
        <v>1</v>
      </c>
      <c r="D138" s="6"/>
      <c r="E138" s="6">
        <f t="shared" si="7"/>
        <v>0</v>
      </c>
    </row>
    <row r="139" spans="1:5" x14ac:dyDescent="0.25">
      <c r="A139" s="5" t="s">
        <v>149</v>
      </c>
      <c r="B139" s="6" t="s">
        <v>68</v>
      </c>
      <c r="C139" s="142">
        <v>0</v>
      </c>
      <c r="D139" s="6"/>
      <c r="E139" s="6">
        <f t="shared" si="7"/>
        <v>0</v>
      </c>
    </row>
    <row r="140" spans="1:5" x14ac:dyDescent="0.25">
      <c r="A140" s="5" t="s">
        <v>150</v>
      </c>
      <c r="B140" s="6" t="s">
        <v>68</v>
      </c>
      <c r="C140" s="7">
        <v>2</v>
      </c>
      <c r="D140" s="6"/>
      <c r="E140" s="6">
        <f t="shared" si="7"/>
        <v>0</v>
      </c>
    </row>
    <row r="141" spans="1:5" x14ac:dyDescent="0.25">
      <c r="A141" s="5" t="s">
        <v>151</v>
      </c>
      <c r="B141" s="6" t="s">
        <v>68</v>
      </c>
      <c r="C141" s="142">
        <v>0</v>
      </c>
      <c r="D141" s="6"/>
      <c r="E141" s="6">
        <f t="shared" si="7"/>
        <v>0</v>
      </c>
    </row>
    <row r="142" spans="1:5" ht="25" x14ac:dyDescent="0.25">
      <c r="A142" s="8" t="s">
        <v>154</v>
      </c>
      <c r="B142" s="8" t="s">
        <v>155</v>
      </c>
      <c r="C142" s="17">
        <v>1</v>
      </c>
      <c r="D142" s="6"/>
      <c r="E142" s="6">
        <f t="shared" si="7"/>
        <v>0</v>
      </c>
    </row>
    <row r="143" spans="1:5" ht="37.5" x14ac:dyDescent="0.25">
      <c r="A143" s="5" t="s">
        <v>156</v>
      </c>
      <c r="B143" s="6" t="s">
        <v>5</v>
      </c>
      <c r="C143" s="7">
        <v>1</v>
      </c>
      <c r="D143" s="6"/>
      <c r="E143" s="6">
        <f t="shared" si="7"/>
        <v>0</v>
      </c>
    </row>
    <row r="144" spans="1:5" ht="25" x14ac:dyDescent="0.25">
      <c r="A144" s="5" t="s">
        <v>158</v>
      </c>
      <c r="B144" s="6" t="s">
        <v>68</v>
      </c>
      <c r="C144" s="7">
        <v>2</v>
      </c>
      <c r="D144" s="6"/>
      <c r="E144" s="6">
        <f>C144*D144</f>
        <v>0</v>
      </c>
    </row>
    <row r="145" spans="1:5" ht="25" x14ac:dyDescent="0.25">
      <c r="A145" s="5" t="s">
        <v>159</v>
      </c>
      <c r="B145" s="6" t="s">
        <v>5</v>
      </c>
      <c r="C145" s="7">
        <v>1</v>
      </c>
      <c r="D145" s="6"/>
      <c r="E145" s="6">
        <f>D145*C145</f>
        <v>0</v>
      </c>
    </row>
    <row r="146" spans="1:5" ht="25" x14ac:dyDescent="0.25">
      <c r="A146" s="8" t="s">
        <v>182</v>
      </c>
      <c r="B146" s="9" t="s">
        <v>5</v>
      </c>
      <c r="C146" s="10">
        <v>1</v>
      </c>
      <c r="D146" s="9"/>
      <c r="E146" s="9">
        <f>D146*C146</f>
        <v>0</v>
      </c>
    </row>
    <row r="147" spans="1:5" ht="13" x14ac:dyDescent="0.25">
      <c r="A147" s="32" t="s">
        <v>160</v>
      </c>
      <c r="B147" s="33"/>
      <c r="C147" s="34"/>
      <c r="D147" s="33"/>
      <c r="E147" s="12">
        <f>SUM(E131:E146)</f>
        <v>0</v>
      </c>
    </row>
    <row r="148" spans="1:5" ht="13" x14ac:dyDescent="0.25">
      <c r="A148" s="69" t="s">
        <v>161</v>
      </c>
      <c r="B148" s="70"/>
      <c r="C148" s="70"/>
      <c r="D148" s="71"/>
      <c r="E148" s="14">
        <f>E147+E128+E123+E120+E115+E90+E74+E65+E57</f>
        <v>0</v>
      </c>
    </row>
    <row r="149" spans="1:5" x14ac:dyDescent="0.25">
      <c r="C149" s="1"/>
    </row>
    <row r="150" spans="1:5" ht="13" x14ac:dyDescent="0.25">
      <c r="A150" s="82" t="s">
        <v>301</v>
      </c>
      <c r="B150" s="83"/>
      <c r="C150" s="83"/>
      <c r="D150" s="84"/>
      <c r="E150" s="47">
        <f>E148+E47+E7</f>
        <v>0</v>
      </c>
    </row>
    <row r="176" ht="18" customHeight="1" x14ac:dyDescent="0.25"/>
    <row r="214" ht="17.5" customHeight="1" x14ac:dyDescent="0.25"/>
    <row r="232" ht="19.399999999999999" customHeight="1" x14ac:dyDescent="0.25"/>
    <row r="237" ht="18" customHeight="1" x14ac:dyDescent="0.25"/>
    <row r="238" ht="18" customHeight="1" x14ac:dyDescent="0.25"/>
    <row r="240" ht="15.65" customHeight="1" x14ac:dyDescent="0.25"/>
    <row r="241" ht="15.65" customHeight="1" x14ac:dyDescent="0.25"/>
    <row r="242" ht="15.65" customHeight="1" x14ac:dyDescent="0.25"/>
    <row r="248" ht="18" customHeight="1" x14ac:dyDescent="0.25"/>
    <row r="257" ht="18" customHeight="1" x14ac:dyDescent="0.25"/>
    <row r="258" ht="18" customHeight="1" x14ac:dyDescent="0.25"/>
    <row r="264" ht="18" customHeight="1" x14ac:dyDescent="0.25"/>
    <row r="323" ht="17.5" customHeight="1" x14ac:dyDescent="0.25"/>
    <row r="364" ht="18" customHeight="1" x14ac:dyDescent="0.25"/>
    <row r="365" ht="18" customHeight="1" x14ac:dyDescent="0.25"/>
    <row r="379" ht="18" customHeight="1" x14ac:dyDescent="0.25"/>
    <row r="390" ht="18" customHeight="1" x14ac:dyDescent="0.25"/>
    <row r="391" ht="18" customHeight="1" x14ac:dyDescent="0.25"/>
    <row r="394" ht="18" customHeight="1" x14ac:dyDescent="0.25"/>
    <row r="430" ht="18" customHeight="1" x14ac:dyDescent="0.25"/>
  </sheetData>
  <mergeCells count="57">
    <mergeCell ref="A7:D7"/>
    <mergeCell ref="A2:E2"/>
    <mergeCell ref="A5:E5"/>
    <mergeCell ref="A40:D40"/>
    <mergeCell ref="A9:E9"/>
    <mergeCell ref="A10:E10"/>
    <mergeCell ref="A16:D16"/>
    <mergeCell ref="A17:E17"/>
    <mergeCell ref="A24:D24"/>
    <mergeCell ref="A25:E25"/>
    <mergeCell ref="A28:D28"/>
    <mergeCell ref="A29:E29"/>
    <mergeCell ref="A37:D37"/>
    <mergeCell ref="A38:E38"/>
    <mergeCell ref="A89:D89"/>
    <mergeCell ref="A66:E66"/>
    <mergeCell ref="A41:E41"/>
    <mergeCell ref="A46:D46"/>
    <mergeCell ref="A47:D47"/>
    <mergeCell ref="A49:E49"/>
    <mergeCell ref="A50:E50"/>
    <mergeCell ref="A51:E51"/>
    <mergeCell ref="A57:D57"/>
    <mergeCell ref="A58:E58"/>
    <mergeCell ref="A59:E59"/>
    <mergeCell ref="A65:D65"/>
    <mergeCell ref="A77:E77"/>
    <mergeCell ref="A81:D81"/>
    <mergeCell ref="A82:E82"/>
    <mergeCell ref="A85:D85"/>
    <mergeCell ref="A86:E86"/>
    <mergeCell ref="A67:E67"/>
    <mergeCell ref="A68:E68"/>
    <mergeCell ref="A74:D74"/>
    <mergeCell ref="A75:E75"/>
    <mergeCell ref="A76:E76"/>
    <mergeCell ref="A121:E121"/>
    <mergeCell ref="A123:D123"/>
    <mergeCell ref="A124:E124"/>
    <mergeCell ref="A128:D128"/>
    <mergeCell ref="A90:D90"/>
    <mergeCell ref="A148:D148"/>
    <mergeCell ref="A150:D150"/>
    <mergeCell ref="A1:E1"/>
    <mergeCell ref="A129:E129"/>
    <mergeCell ref="A130:E130"/>
    <mergeCell ref="A132:E132"/>
    <mergeCell ref="A91:E91"/>
    <mergeCell ref="A93:E93"/>
    <mergeCell ref="A95:E95"/>
    <mergeCell ref="A115:D115"/>
    <mergeCell ref="A116:E116"/>
    <mergeCell ref="B117:B119"/>
    <mergeCell ref="C117:C119"/>
    <mergeCell ref="D117:D119"/>
    <mergeCell ref="E117:E119"/>
    <mergeCell ref="A120:D120"/>
  </mergeCells>
  <pageMargins left="0.7" right="0.7" top="0.75" bottom="0.75" header="0.3" footer="0.3"/>
  <pageSetup paperSize="9" scale="8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E23"/>
  <sheetViews>
    <sheetView zoomScale="70" zoomScaleNormal="70" workbookViewId="0">
      <selection activeCell="A5" sqref="A5:E5"/>
    </sheetView>
  </sheetViews>
  <sheetFormatPr baseColWidth="10" defaultRowHeight="12.5" x14ac:dyDescent="0.25"/>
  <cols>
    <col min="1" max="1" width="47" style="1" customWidth="1"/>
    <col min="2" max="2" width="6.453125" style="1" customWidth="1"/>
    <col min="3" max="3" width="10.26953125" style="31" customWidth="1"/>
    <col min="4" max="4" width="15" style="1" customWidth="1"/>
    <col min="5" max="5" width="17.1796875" style="1" customWidth="1"/>
    <col min="6" max="16384" width="10.90625" style="1"/>
  </cols>
  <sheetData>
    <row r="1" spans="1:5" ht="13" x14ac:dyDescent="0.25">
      <c r="A1" s="119" t="s">
        <v>313</v>
      </c>
      <c r="B1" s="119"/>
      <c r="C1" s="119"/>
      <c r="D1" s="119"/>
      <c r="E1" s="119"/>
    </row>
    <row r="3" spans="1:5" ht="13" x14ac:dyDescent="0.25">
      <c r="A3" s="2" t="s">
        <v>0</v>
      </c>
      <c r="B3" s="3" t="s">
        <v>1</v>
      </c>
      <c r="C3" s="3" t="s">
        <v>283</v>
      </c>
      <c r="D3" s="3" t="s">
        <v>281</v>
      </c>
      <c r="E3" s="4" t="s">
        <v>282</v>
      </c>
    </row>
    <row r="4" spans="1:5" x14ac:dyDescent="0.25">
      <c r="C4" s="1"/>
    </row>
    <row r="5" spans="1:5" ht="13" x14ac:dyDescent="0.25">
      <c r="A5" s="126" t="s">
        <v>4</v>
      </c>
      <c r="B5" s="126"/>
      <c r="C5" s="126"/>
      <c r="D5" s="126"/>
      <c r="E5" s="126"/>
    </row>
    <row r="6" spans="1:5" x14ac:dyDescent="0.25">
      <c r="A6" s="8" t="s">
        <v>268</v>
      </c>
      <c r="B6" s="9" t="s">
        <v>5</v>
      </c>
      <c r="C6" s="10">
        <v>1</v>
      </c>
      <c r="D6" s="9"/>
      <c r="E6" s="9">
        <f>C6*D6</f>
        <v>0</v>
      </c>
    </row>
    <row r="7" spans="1:5" ht="13" x14ac:dyDescent="0.25">
      <c r="A7" s="98" t="s">
        <v>7</v>
      </c>
      <c r="B7" s="99"/>
      <c r="C7" s="99"/>
      <c r="D7" s="100"/>
      <c r="E7" s="4">
        <f>SUM(E6)</f>
        <v>0</v>
      </c>
    </row>
    <row r="8" spans="1:5" s="43" customFormat="1" ht="13" x14ac:dyDescent="0.3">
      <c r="A8" s="123" t="s">
        <v>264</v>
      </c>
      <c r="B8" s="124"/>
      <c r="C8" s="124"/>
      <c r="D8" s="124"/>
      <c r="E8" s="125"/>
    </row>
    <row r="9" spans="1:5" x14ac:dyDescent="0.25">
      <c r="A9" s="8" t="s">
        <v>265</v>
      </c>
      <c r="B9" s="9" t="s">
        <v>258</v>
      </c>
      <c r="C9" s="10">
        <v>1</v>
      </c>
      <c r="D9" s="9"/>
      <c r="E9" s="9">
        <f>SUM(C9*D9)</f>
        <v>0</v>
      </c>
    </row>
    <row r="10" spans="1:5" x14ac:dyDescent="0.25">
      <c r="A10" s="8" t="s">
        <v>269</v>
      </c>
      <c r="B10" s="9" t="s">
        <v>258</v>
      </c>
      <c r="C10" s="10">
        <v>1</v>
      </c>
      <c r="D10" s="9"/>
      <c r="E10" s="9">
        <f t="shared" ref="E10" si="0">SUM(C10*D10)</f>
        <v>0</v>
      </c>
    </row>
    <row r="11" spans="1:5" ht="13" x14ac:dyDescent="0.25">
      <c r="A11" s="120" t="s">
        <v>255</v>
      </c>
      <c r="B11" s="121"/>
      <c r="C11" s="121"/>
      <c r="D11" s="122"/>
      <c r="E11" s="4">
        <f>SUM(E9:E10)</f>
        <v>0</v>
      </c>
    </row>
    <row r="12" spans="1:5" s="43" customFormat="1" ht="26" x14ac:dyDescent="0.3">
      <c r="A12" s="44" t="s">
        <v>262</v>
      </c>
      <c r="B12" s="45"/>
      <c r="C12" s="46"/>
      <c r="D12" s="45"/>
      <c r="E12" s="45"/>
    </row>
    <row r="13" spans="1:5" ht="25" x14ac:dyDescent="0.25">
      <c r="A13" s="8" t="s">
        <v>263</v>
      </c>
      <c r="B13" s="9" t="s">
        <v>254</v>
      </c>
      <c r="C13" s="10">
        <v>1860</v>
      </c>
      <c r="D13" s="9"/>
      <c r="E13" s="9">
        <f>SUM(C13*D13)</f>
        <v>0</v>
      </c>
    </row>
    <row r="14" spans="1:5" ht="62.5" x14ac:dyDescent="0.25">
      <c r="A14" s="8" t="s">
        <v>266</v>
      </c>
      <c r="B14" s="9" t="s">
        <v>254</v>
      </c>
      <c r="C14" s="10">
        <v>880</v>
      </c>
      <c r="D14" s="9"/>
      <c r="E14" s="9">
        <f>SUM(C14*D14)</f>
        <v>0</v>
      </c>
    </row>
    <row r="15" spans="1:5" ht="13" x14ac:dyDescent="0.25">
      <c r="A15" s="120" t="s">
        <v>255</v>
      </c>
      <c r="B15" s="121"/>
      <c r="C15" s="121"/>
      <c r="D15" s="122"/>
      <c r="E15" s="4">
        <f>SUM(E13:E14)</f>
        <v>0</v>
      </c>
    </row>
    <row r="16" spans="1:5" s="43" customFormat="1" ht="13" x14ac:dyDescent="0.3">
      <c r="A16" s="44" t="s">
        <v>256</v>
      </c>
      <c r="B16" s="45"/>
      <c r="C16" s="46"/>
      <c r="D16" s="45"/>
      <c r="E16" s="45"/>
    </row>
    <row r="17" spans="1:5" ht="25" x14ac:dyDescent="0.25">
      <c r="A17" s="8" t="s">
        <v>257</v>
      </c>
      <c r="B17" s="9"/>
      <c r="C17" s="10"/>
      <c r="D17" s="9"/>
      <c r="E17" s="9"/>
    </row>
    <row r="18" spans="1:5" ht="25" x14ac:dyDescent="0.25">
      <c r="A18" s="8" t="s">
        <v>261</v>
      </c>
      <c r="B18" s="9" t="s">
        <v>258</v>
      </c>
      <c r="C18" s="10">
        <v>1</v>
      </c>
      <c r="D18" s="9"/>
      <c r="E18" s="9">
        <f>SUM(C18*D18)</f>
        <v>0</v>
      </c>
    </row>
    <row r="19" spans="1:5" ht="75" x14ac:dyDescent="0.25">
      <c r="A19" s="8" t="s">
        <v>259</v>
      </c>
      <c r="B19" s="9" t="s">
        <v>258</v>
      </c>
      <c r="C19" s="10">
        <v>1</v>
      </c>
      <c r="D19" s="9"/>
      <c r="E19" s="9">
        <f>SUM(C19*D19)</f>
        <v>0</v>
      </c>
    </row>
    <row r="20" spans="1:5" ht="37.5" x14ac:dyDescent="0.25">
      <c r="A20" s="8" t="s">
        <v>260</v>
      </c>
      <c r="B20" s="9" t="s">
        <v>1</v>
      </c>
      <c r="C20" s="10">
        <v>15</v>
      </c>
      <c r="D20" s="9"/>
      <c r="E20" s="9">
        <f>SUM(C20*D20)</f>
        <v>0</v>
      </c>
    </row>
    <row r="21" spans="1:5" ht="13" x14ac:dyDescent="0.25">
      <c r="A21" s="120" t="s">
        <v>255</v>
      </c>
      <c r="B21" s="121"/>
      <c r="C21" s="121"/>
      <c r="D21" s="122"/>
      <c r="E21" s="4">
        <f>SUM(E18:E20)</f>
        <v>0</v>
      </c>
    </row>
    <row r="23" spans="1:5" ht="13" x14ac:dyDescent="0.25">
      <c r="A23" s="82" t="s">
        <v>310</v>
      </c>
      <c r="B23" s="83"/>
      <c r="C23" s="83"/>
      <c r="D23" s="84"/>
      <c r="E23" s="47">
        <f>E21+E15+E11+E7</f>
        <v>0</v>
      </c>
    </row>
  </sheetData>
  <mergeCells count="8">
    <mergeCell ref="A1:E1"/>
    <mergeCell ref="A23:D23"/>
    <mergeCell ref="A21:D21"/>
    <mergeCell ref="A15:D15"/>
    <mergeCell ref="A8:E8"/>
    <mergeCell ref="A5:E5"/>
    <mergeCell ref="A7:D7"/>
    <mergeCell ref="A11:D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C18"/>
  <sheetViews>
    <sheetView zoomScale="85" zoomScaleNormal="85" workbookViewId="0">
      <selection activeCell="A16" sqref="A16:B16"/>
    </sheetView>
  </sheetViews>
  <sheetFormatPr baseColWidth="10" defaultRowHeight="17" customHeight="1" x14ac:dyDescent="0.25"/>
  <cols>
    <col min="1" max="1" width="13.54296875" style="1" customWidth="1"/>
    <col min="2" max="2" width="62" style="1" customWidth="1"/>
    <col min="3" max="3" width="18" style="1" customWidth="1"/>
    <col min="4" max="4" width="10.90625" style="1"/>
    <col min="5" max="5" width="12.453125" style="1" bestFit="1" customWidth="1"/>
    <col min="6" max="16384" width="10.90625" style="1"/>
  </cols>
  <sheetData>
    <row r="1" spans="1:3" s="48" customFormat="1" ht="17" customHeight="1" thickBot="1" x14ac:dyDescent="0.4">
      <c r="A1" s="56" t="s">
        <v>316</v>
      </c>
      <c r="B1" s="57" t="s">
        <v>311</v>
      </c>
      <c r="C1" s="58" t="s">
        <v>315</v>
      </c>
    </row>
    <row r="2" spans="1:3" s="49" customFormat="1" ht="17" customHeight="1" x14ac:dyDescent="0.35">
      <c r="A2" s="137" t="s">
        <v>317</v>
      </c>
      <c r="B2" s="59" t="s">
        <v>319</v>
      </c>
      <c r="C2" s="53">
        <f>'R+1 Bloc, néonat, hos'!E246</f>
        <v>0</v>
      </c>
    </row>
    <row r="3" spans="1:3" s="49" customFormat="1" ht="17" customHeight="1" thickBot="1" x14ac:dyDescent="0.4">
      <c r="A3" s="138"/>
      <c r="B3" s="51" t="s">
        <v>320</v>
      </c>
      <c r="C3" s="60">
        <f>'Buanderie, locaux fluides &amp; déc'!E118</f>
        <v>0</v>
      </c>
    </row>
    <row r="4" spans="1:3" s="49" customFormat="1" ht="17" customHeight="1" thickBot="1" x14ac:dyDescent="0.4">
      <c r="A4" s="127" t="s">
        <v>327</v>
      </c>
      <c r="B4" s="128"/>
      <c r="C4" s="61">
        <f>C2+C3</f>
        <v>0</v>
      </c>
    </row>
    <row r="5" spans="1:3" s="49" customFormat="1" ht="17" customHeight="1" thickBot="1" x14ac:dyDescent="0.4">
      <c r="A5" s="129" t="s">
        <v>314</v>
      </c>
      <c r="B5" s="130"/>
      <c r="C5" s="62">
        <f>C4*0.18</f>
        <v>0</v>
      </c>
    </row>
    <row r="6" spans="1:3" s="49" customFormat="1" ht="17" customHeight="1" thickBot="1" x14ac:dyDescent="0.4">
      <c r="A6" s="127" t="s">
        <v>326</v>
      </c>
      <c r="B6" s="128"/>
      <c r="C6" s="61">
        <f>C4+C5</f>
        <v>0</v>
      </c>
    </row>
    <row r="7" spans="1:3" s="49" customFormat="1" ht="17" customHeight="1" thickBot="1" x14ac:dyDescent="0.4"/>
    <row r="8" spans="1:3" s="48" customFormat="1" ht="17" customHeight="1" thickBot="1" x14ac:dyDescent="0.4">
      <c r="A8" s="56" t="s">
        <v>316</v>
      </c>
      <c r="B8" s="57" t="s">
        <v>311</v>
      </c>
      <c r="C8" s="58" t="s">
        <v>315</v>
      </c>
    </row>
    <row r="9" spans="1:3" s="49" customFormat="1" ht="17" customHeight="1" x14ac:dyDescent="0.35">
      <c r="A9" s="139" t="s">
        <v>318</v>
      </c>
      <c r="B9" s="52" t="s">
        <v>321</v>
      </c>
      <c r="C9" s="53">
        <f>UTM!E150</f>
        <v>0</v>
      </c>
    </row>
    <row r="10" spans="1:3" s="49" customFormat="1" ht="17" customHeight="1" thickBot="1" x14ac:dyDescent="0.4">
      <c r="A10" s="140"/>
      <c r="B10" s="54" t="s">
        <v>312</v>
      </c>
      <c r="C10" s="55">
        <f>'Aménagements et Divers'!E23</f>
        <v>0</v>
      </c>
    </row>
    <row r="11" spans="1:3" s="49" customFormat="1" ht="17" customHeight="1" thickBot="1" x14ac:dyDescent="0.4">
      <c r="A11" s="131" t="s">
        <v>325</v>
      </c>
      <c r="B11" s="132"/>
      <c r="C11" s="63">
        <f>C9+C10</f>
        <v>0</v>
      </c>
    </row>
    <row r="12" spans="1:3" s="49" customFormat="1" ht="17" customHeight="1" thickBot="1" x14ac:dyDescent="0.4">
      <c r="A12" s="133" t="s">
        <v>314</v>
      </c>
      <c r="B12" s="134"/>
      <c r="C12" s="65">
        <f>C11*0.18</f>
        <v>0</v>
      </c>
    </row>
    <row r="13" spans="1:3" s="49" customFormat="1" ht="17" customHeight="1" thickBot="1" x14ac:dyDescent="0.4">
      <c r="A13" s="135" t="s">
        <v>324</v>
      </c>
      <c r="B13" s="136"/>
      <c r="C13" s="64">
        <f>C11+C12</f>
        <v>0</v>
      </c>
    </row>
    <row r="14" spans="1:3" s="49" customFormat="1" ht="17" customHeight="1" thickBot="1" x14ac:dyDescent="0.4">
      <c r="C14" s="50"/>
    </row>
    <row r="15" spans="1:3" s="49" customFormat="1" ht="17" customHeight="1" thickBot="1" x14ac:dyDescent="0.4">
      <c r="A15" s="131" t="s">
        <v>323</v>
      </c>
      <c r="B15" s="132"/>
      <c r="C15" s="63">
        <f>C4+C11</f>
        <v>0</v>
      </c>
    </row>
    <row r="16" spans="1:3" s="49" customFormat="1" ht="17" customHeight="1" thickBot="1" x14ac:dyDescent="0.4">
      <c r="A16" s="133" t="s">
        <v>314</v>
      </c>
      <c r="B16" s="134"/>
      <c r="C16" s="65">
        <f>C15*0.18</f>
        <v>0</v>
      </c>
    </row>
    <row r="17" spans="1:3" s="49" customFormat="1" ht="17" customHeight="1" thickBot="1" x14ac:dyDescent="0.4">
      <c r="A17" s="135" t="s">
        <v>322</v>
      </c>
      <c r="B17" s="136"/>
      <c r="C17" s="64">
        <f>C15+C16</f>
        <v>0</v>
      </c>
    </row>
    <row r="18" spans="1:3" s="49" customFormat="1" ht="17" customHeight="1" x14ac:dyDescent="0.35">
      <c r="C18" s="50"/>
    </row>
  </sheetData>
  <mergeCells count="11">
    <mergeCell ref="A13:B13"/>
    <mergeCell ref="A15:B15"/>
    <mergeCell ref="A16:B16"/>
    <mergeCell ref="A17:B17"/>
    <mergeCell ref="A2:A3"/>
    <mergeCell ref="A9:A10"/>
    <mergeCell ref="A4:B4"/>
    <mergeCell ref="A5:B5"/>
    <mergeCell ref="A6:B6"/>
    <mergeCell ref="A11:B11"/>
    <mergeCell ref="A12:B12"/>
  </mergeCell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31" ma:contentTypeDescription="" ma:contentTypeScope="" ma:versionID="f89a9f2b709ce05b97401ee847ee74e2">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a1ddbe5a-88f5-4dcf-b333-bf73e2eddbd1" targetNamespace="http://schemas.microsoft.com/office/2006/metadata/properties" ma:root="true" ma:fieldsID="41a06567aed1804562e53042c61384af" ns1:_="" ns2:_="" ns3:_="" ns4:_="" ns5:_="">
    <xsd:import namespace="http://schemas.microsoft.com/sharepoint/v3"/>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4;#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lcf76f155ced4ddcb4097134ff3c332f xmlns="a1ddbe5a-88f5-4dcf-b333-bf73e2eddbd1">
      <Terms xmlns="http://schemas.microsoft.com/office/infopath/2007/PartnerControls"/>
    </lcf76f155ced4ddcb4097134ff3c332f>
    <_dlc_DocId xmlns="508ba6eb-9e09-4fd5-92f2-2d9921329f2d">SENENABEL-124183628-122570</_dlc_DocId>
    <_dlc_DocIdUrl xmlns="508ba6eb-9e09-4fd5-92f2-2d9921329f2d">
      <Url>https://enabelbe.sharepoint.com/sites/SEN/_layouts/15/DocIdRedir.aspx?ID=SENENABEL-124183628-122570</Url>
      <Description>SENENABEL-124183628-122570</Description>
    </_dlc_DocIdUrl>
  </documentManagement>
</p:properties>
</file>

<file path=customXml/itemProps1.xml><?xml version="1.0" encoding="utf-8"?>
<ds:datastoreItem xmlns:ds="http://schemas.openxmlformats.org/officeDocument/2006/customXml" ds:itemID="{5CF9B977-8A6F-4243-A69C-674D46F5235C}">
  <ds:schemaRefs>
    <ds:schemaRef ds:uri="http://schemas.microsoft.com/sharepoint/v3/contenttype/forms"/>
  </ds:schemaRefs>
</ds:datastoreItem>
</file>

<file path=customXml/itemProps2.xml><?xml version="1.0" encoding="utf-8"?>
<ds:datastoreItem xmlns:ds="http://schemas.openxmlformats.org/officeDocument/2006/customXml" ds:itemID="{EE9EAA71-F5B5-497D-85C9-6D4DED8AC765}">
  <ds:schemaRefs>
    <ds:schemaRef ds:uri="http://schemas.microsoft.com/sharepoint/events"/>
  </ds:schemaRefs>
</ds:datastoreItem>
</file>

<file path=customXml/itemProps3.xml><?xml version="1.0" encoding="utf-8"?>
<ds:datastoreItem xmlns:ds="http://schemas.openxmlformats.org/officeDocument/2006/customXml" ds:itemID="{D269327C-9DBB-43B9-B063-76AFEE47A75A}"/>
</file>

<file path=customXml/itemProps4.xml><?xml version="1.0" encoding="utf-8"?>
<ds:datastoreItem xmlns:ds="http://schemas.openxmlformats.org/officeDocument/2006/customXml" ds:itemID="{1B10BE14-1CD0-4775-B318-469BCC05F1A8}">
  <ds:schemaRefs>
    <ds:schemaRef ds:uri="http://schemas.microsoft.com/office/2006/metadata/properties"/>
    <ds:schemaRef ds:uri="http://schemas.microsoft.com/office/infopath/2007/PartnerControls"/>
    <ds:schemaRef ds:uri="http://schemas.microsoft.com/sharepoint/v3"/>
    <ds:schemaRef ds:uri="14a9c00f-d9e3-4eb9-aad3-f69239d17d9c"/>
    <ds:schemaRef ds:uri="1c89b6ff-5735-4b3c-9dca-50e80957a65b"/>
    <ds:schemaRef ds:uri="a1ddbe5a-88f5-4dcf-b333-bf73e2eddbd1"/>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R+1 Bloc, néonat, hos</vt:lpstr>
      <vt:lpstr>Buanderie, locaux fluides &amp; déc</vt:lpstr>
      <vt:lpstr>UTM</vt:lpstr>
      <vt:lpstr>Aménagements et Divers</vt:lpstr>
      <vt:lpstr>RECAP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 Issa NDIAYE</dc:creator>
  <cp:lastModifiedBy>VANDER AUWERA, Thibault</cp:lastModifiedBy>
  <cp:lastPrinted>2025-07-15T18:41:27Z</cp:lastPrinted>
  <dcterms:created xsi:type="dcterms:W3CDTF">2024-05-02T10:25:08Z</dcterms:created>
  <dcterms:modified xsi:type="dcterms:W3CDTF">2025-07-15T18:54:33Z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0x01010084FDA68FEA25C847A6128BBA7C1A6EC10040DEC2D9A4E8A943A61D3368400126BA</vt:lpwstr>
  </property>
  <property fmtid="{D5CDD505-2E9C-101B-9397-08002B2CF9AE}" pid="3" name="Document_Language">
    <vt:lpwstr>4;#FR|e5b11214-e6fc-4287-b1cb-b050c041462c</vt:lpwstr>
  </property>
  <property fmtid="{D5CDD505-2E9C-101B-9397-08002B2CF9AE}" pid="4" name="Country">
    <vt:lpwstr>1;#SEN|2b0d2337-59d1-468e-9a57-52ee80937861</vt:lpwstr>
  </property>
  <property fmtid="{D5CDD505-2E9C-101B-9397-08002B2CF9AE}" pid="5" name="_dlc_DocIdItemGuid">
    <vt:lpwstr>d6c4414c-bc6d-482c-b489-2c761aead13f</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