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mc:AlternateContent xmlns:mc="http://schemas.openxmlformats.org/markup-compatibility/2006">
    <mc:Choice Requires="x15">
      <x15ac:absPath xmlns:x15ac="http://schemas.microsoft.com/office/spreadsheetml/2010/11/ac" url="https://enabelbe.sharepoint.com/sites/BFA/Contracts/21_Marchés_Publics/BFA23002_LASSO_SANTE/BFA23002-10025 Travaux infrastrcutures/2_CSC/"/>
    </mc:Choice>
  </mc:AlternateContent>
  <xr:revisionPtr revIDLastSave="65" documentId="8_{A0115C7D-E55B-433F-8CE6-AA06422ADB8C}" xr6:coauthVersionLast="47" xr6:coauthVersionMax="47" xr10:uidLastSave="{3DCC8C47-F437-4076-9498-8BB47888A825}"/>
  <bookViews>
    <workbookView xWindow="-108" yWindow="-108" windowWidth="23256" windowHeight="12456" firstSheet="4" activeTab="4" xr2:uid="{E335881E-A925-4694-B6C9-997BE50B81C4}"/>
  </bookViews>
  <sheets>
    <sheet name="RDC POSTE DE POLICE" sheetId="1" state="hidden" r:id="rId1"/>
    <sheet name="DQE_BLOCOPERATOIRECMA_BOR " sheetId="17" r:id="rId2"/>
    <sheet name="DQE_MATERNITE_CENTRE_ONE S" sheetId="16" r:id="rId3"/>
    <sheet name="DQE_DRD" sheetId="15" r:id="rId4"/>
    <sheet name="DQE_Recap_LOT1" sheetId="10" r:id="rId5"/>
  </sheets>
  <definedNames>
    <definedName name="_xlnm.Print_Titles" localSheetId="1">'DQE_BLOCOPERATOIRECMA_BOR '!$5:$5</definedName>
    <definedName name="_xlnm.Print_Titles" localSheetId="3">DQE_DRD!$5:$5</definedName>
    <definedName name="_xlnm.Print_Titles" localSheetId="2">'DQE_MATERNITE_CENTRE_ONE S'!$5:$5</definedName>
    <definedName name="_xlnm.Print_Area" localSheetId="4">DQE_Recap_LOT1!$A$1:$F$16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7" i="16" l="1"/>
  <c r="F23" i="17"/>
  <c r="D73" i="15"/>
  <c r="F260" i="17"/>
  <c r="F8" i="10" l="1"/>
  <c r="F9" i="10"/>
  <c r="F10" i="10"/>
  <c r="F7" i="10"/>
  <c r="D259" i="17" l="1"/>
  <c r="F253" i="17"/>
  <c r="D246" i="17"/>
  <c r="F248" i="17"/>
  <c r="F238" i="17"/>
  <c r="F220" i="17"/>
  <c r="F206" i="17"/>
  <c r="D197" i="17"/>
  <c r="F188" i="17"/>
  <c r="F180" i="17"/>
  <c r="D170" i="17"/>
  <c r="F172" i="17" s="1"/>
  <c r="F165" i="17"/>
  <c r="F158" i="17"/>
  <c r="F142" i="17"/>
  <c r="F135" i="17"/>
  <c r="F125" i="17"/>
  <c r="F120" i="17"/>
  <c r="F115" i="17"/>
  <c r="D101" i="17"/>
  <c r="D106" i="17" s="1"/>
  <c r="D100" i="17"/>
  <c r="D99" i="17"/>
  <c r="D98" i="17"/>
  <c r="D97" i="17"/>
  <c r="F93" i="17"/>
  <c r="F87" i="17"/>
  <c r="F80" i="17"/>
  <c r="D57" i="17"/>
  <c r="F61" i="17"/>
  <c r="D44" i="17"/>
  <c r="D43" i="17"/>
  <c r="D107" i="17" s="1"/>
  <c r="D42" i="17"/>
  <c r="D41" i="17"/>
  <c r="D40" i="17"/>
  <c r="F47" i="17" s="1"/>
  <c r="D34" i="17"/>
  <c r="D33" i="17"/>
  <c r="D32" i="17"/>
  <c r="D30" i="17"/>
  <c r="D29" i="17"/>
  <c r="D28" i="17"/>
  <c r="D27" i="17"/>
  <c r="D26" i="17"/>
  <c r="D22" i="17"/>
  <c r="D20" i="17"/>
  <c r="D19" i="17"/>
  <c r="D18" i="17"/>
  <c r="D17" i="17"/>
  <c r="D16" i="17"/>
  <c r="D15" i="17"/>
  <c r="D14" i="17"/>
  <c r="D13" i="17"/>
  <c r="D12" i="17"/>
  <c r="D10" i="17"/>
  <c r="D9" i="17"/>
  <c r="D8" i="17"/>
  <c r="D11" i="17" s="1"/>
  <c r="D296" i="16"/>
  <c r="D293" i="16"/>
  <c r="F290" i="16"/>
  <c r="D283" i="16"/>
  <c r="F285" i="16"/>
  <c r="F275" i="16"/>
  <c r="F264" i="16"/>
  <c r="F231" i="16"/>
  <c r="F216" i="16"/>
  <c r="F201" i="16"/>
  <c r="F193" i="16"/>
  <c r="F185" i="16"/>
  <c r="F178" i="16"/>
  <c r="F171" i="16"/>
  <c r="F155" i="16"/>
  <c r="F148" i="16"/>
  <c r="F138" i="16"/>
  <c r="F133" i="16"/>
  <c r="F128" i="16"/>
  <c r="D118" i="16"/>
  <c r="D46" i="16" s="1"/>
  <c r="D114" i="16"/>
  <c r="D119" i="16" s="1"/>
  <c r="D113" i="16"/>
  <c r="D112" i="16"/>
  <c r="D111" i="16"/>
  <c r="D110" i="16"/>
  <c r="F92" i="16"/>
  <c r="F85" i="16"/>
  <c r="D59" i="16"/>
  <c r="D45" i="16"/>
  <c r="D120" i="16" s="1"/>
  <c r="D44" i="16"/>
  <c r="D42" i="16"/>
  <c r="D31" i="16"/>
  <c r="D30" i="16"/>
  <c r="F37" i="16"/>
  <c r="D28" i="16"/>
  <c r="D24" i="16"/>
  <c r="D22" i="16"/>
  <c r="D21" i="16"/>
  <c r="D20" i="16"/>
  <c r="D19" i="16"/>
  <c r="D18" i="16"/>
  <c r="D17" i="16"/>
  <c r="D16" i="16"/>
  <c r="D15" i="16"/>
  <c r="D14" i="16"/>
  <c r="D12" i="16"/>
  <c r="D11" i="16"/>
  <c r="D10" i="16"/>
  <c r="F156" i="16" l="1"/>
  <c r="D13" i="16"/>
  <c r="F261" i="17"/>
  <c r="F218" i="16"/>
  <c r="F232" i="16" s="1"/>
  <c r="F126" i="17"/>
  <c r="F94" i="17"/>
  <c r="F35" i="17"/>
  <c r="F208" i="17"/>
  <c r="F221" i="17" s="1"/>
  <c r="F143" i="17"/>
  <c r="F102" i="17"/>
  <c r="D105" i="17"/>
  <c r="F109" i="17" s="1"/>
  <c r="F115" i="16"/>
  <c r="F139" i="16"/>
  <c r="F25" i="16"/>
  <c r="F106" i="16"/>
  <c r="F107" i="16" s="1"/>
  <c r="F122" i="16"/>
  <c r="F63" i="16"/>
  <c r="F298" i="16"/>
  <c r="F49" i="16"/>
  <c r="F234" i="16" l="1"/>
  <c r="F299" i="16" s="1"/>
  <c r="E11" i="10" s="1"/>
  <c r="F223" i="17"/>
  <c r="F262" i="17" s="1"/>
  <c r="E12" i="10" s="1"/>
  <c r="F15" i="15" l="1"/>
  <c r="F33" i="15"/>
  <c r="F46" i="15"/>
  <c r="F55" i="15"/>
  <c r="F292" i="15"/>
  <c r="F280" i="15"/>
  <c r="F282" i="15" s="1"/>
  <c r="F271" i="15"/>
  <c r="F267" i="15"/>
  <c r="D253" i="15"/>
  <c r="D246" i="15"/>
  <c r="F249" i="15" s="1"/>
  <c r="F242" i="15"/>
  <c r="F243" i="15" s="1"/>
  <c r="F231" i="15"/>
  <c r="D216" i="15"/>
  <c r="D252" i="15" s="1"/>
  <c r="D215" i="15"/>
  <c r="D254" i="15" s="1"/>
  <c r="D214" i="15"/>
  <c r="D213" i="15"/>
  <c r="F219" i="15" s="1"/>
  <c r="D208" i="15"/>
  <c r="D207" i="15"/>
  <c r="F210" i="15"/>
  <c r="D206" i="15"/>
  <c r="F199" i="15"/>
  <c r="F185" i="15"/>
  <c r="F180" i="15"/>
  <c r="F174" i="15"/>
  <c r="F167" i="15"/>
  <c r="F161" i="15"/>
  <c r="F158" i="15"/>
  <c r="F144" i="15"/>
  <c r="F145" i="15" s="1"/>
  <c r="F127" i="15"/>
  <c r="F128" i="15" s="1"/>
  <c r="D109" i="15"/>
  <c r="D108" i="15"/>
  <c r="D107" i="15"/>
  <c r="D102" i="15"/>
  <c r="F104" i="15" s="1"/>
  <c r="F98" i="15"/>
  <c r="F88" i="15"/>
  <c r="F83" i="15"/>
  <c r="F64" i="15"/>
  <c r="F62" i="15"/>
  <c r="F60" i="15"/>
  <c r="F59" i="15"/>
  <c r="D53" i="15"/>
  <c r="D52" i="15"/>
  <c r="D51" i="15"/>
  <c r="D41" i="15"/>
  <c r="D40" i="15"/>
  <c r="D38" i="15"/>
  <c r="D37" i="15"/>
  <c r="D36" i="15"/>
  <c r="D32" i="15"/>
  <c r="D30" i="15"/>
  <c r="D29" i="15"/>
  <c r="D28" i="15"/>
  <c r="D27" i="15"/>
  <c r="D26" i="15"/>
  <c r="D25" i="15"/>
  <c r="D24" i="15"/>
  <c r="D23" i="15"/>
  <c r="D22" i="15"/>
  <c r="D20" i="15"/>
  <c r="D19" i="15"/>
  <c r="D18" i="15"/>
  <c r="D21" i="15" s="1"/>
  <c r="F99" i="15" l="1"/>
  <c r="F293" i="15"/>
  <c r="F187" i="15"/>
  <c r="F200" i="15" s="1"/>
  <c r="F256" i="15"/>
  <c r="F111" i="15"/>
  <c r="F295" i="15" l="1"/>
  <c r="F202" i="15"/>
  <c r="F296" i="15" s="1"/>
  <c r="E15" i="10" s="1"/>
  <c r="F15" i="10" l="1"/>
  <c r="F16" i="10" s="1"/>
  <c r="F12" i="10" l="1"/>
  <c r="E148" i="1" l="1"/>
  <c r="F299" i="1"/>
  <c r="F293" i="1"/>
  <c r="F294" i="1"/>
  <c r="F295" i="1"/>
  <c r="F292" i="1"/>
  <c r="F296" i="1" s="1"/>
  <c r="F285" i="1"/>
  <c r="F290" i="1" s="1"/>
  <c r="F286" i="1"/>
  <c r="F287" i="1"/>
  <c r="F288" i="1"/>
  <c r="F289" i="1"/>
  <c r="F284" i="1"/>
  <c r="F281" i="1"/>
  <c r="F282" i="1" s="1"/>
  <c r="F297" i="1" l="1"/>
  <c r="F276" i="1" l="1"/>
  <c r="F275" i="1"/>
  <c r="F260" i="1"/>
  <c r="F261" i="1"/>
  <c r="F262" i="1"/>
  <c r="F263" i="1"/>
  <c r="F264" i="1"/>
  <c r="F265" i="1"/>
  <c r="F266" i="1"/>
  <c r="F267" i="1"/>
  <c r="F268" i="1"/>
  <c r="F269" i="1"/>
  <c r="F259" i="1"/>
  <c r="F254" i="1"/>
  <c r="F255" i="1"/>
  <c r="F253" i="1"/>
  <c r="F232" i="1"/>
  <c r="F233" i="1"/>
  <c r="F231" i="1"/>
  <c r="F230" i="1"/>
  <c r="F228" i="1"/>
  <c r="F227" i="1"/>
  <c r="F216" i="1"/>
  <c r="F217" i="1"/>
  <c r="F218" i="1"/>
  <c r="F219" i="1"/>
  <c r="F220" i="1"/>
  <c r="F221" i="1"/>
  <c r="F222" i="1"/>
  <c r="F223" i="1"/>
  <c r="F224" i="1"/>
  <c r="F215" i="1"/>
  <c r="F36" i="1"/>
  <c r="F37" i="1"/>
  <c r="F38" i="1"/>
  <c r="F39" i="1"/>
  <c r="F40" i="1"/>
  <c r="F41" i="1"/>
  <c r="F42" i="1"/>
  <c r="F43" i="1"/>
  <c r="F44" i="1"/>
  <c r="F25" i="1"/>
  <c r="F243" i="1"/>
  <c r="F244" i="1"/>
  <c r="F245" i="1"/>
  <c r="F246" i="1"/>
  <c r="F247" i="1"/>
  <c r="F248" i="1"/>
  <c r="F249" i="1"/>
  <c r="F242" i="1"/>
  <c r="F238" i="1"/>
  <c r="F239" i="1"/>
  <c r="F237" i="1"/>
  <c r="F236" i="1"/>
  <c r="F229" i="1"/>
  <c r="F256" i="1" l="1"/>
  <c r="F240" i="1"/>
  <c r="F277" i="1"/>
  <c r="F270" i="1"/>
  <c r="F234" i="1"/>
  <c r="F225" i="1"/>
  <c r="F250" i="1"/>
  <c r="E107" i="1"/>
  <c r="E106" i="1"/>
  <c r="E105" i="1"/>
  <c r="E104" i="1"/>
  <c r="F104" i="1" s="1"/>
  <c r="E103" i="1"/>
  <c r="E102" i="1"/>
  <c r="F102" i="1" s="1"/>
  <c r="E101" i="1"/>
  <c r="F101" i="1" s="1"/>
  <c r="E99" i="1"/>
  <c r="F99" i="1" s="1"/>
  <c r="E98" i="1"/>
  <c r="E97" i="1"/>
  <c r="F97" i="1" s="1"/>
  <c r="E96" i="1"/>
  <c r="E95" i="1"/>
  <c r="F95" i="1" s="1"/>
  <c r="E94" i="1"/>
  <c r="F94" i="1" s="1"/>
  <c r="E93" i="1"/>
  <c r="F93" i="1" s="1"/>
  <c r="E91" i="1"/>
  <c r="F91" i="1" s="1"/>
  <c r="E90" i="1"/>
  <c r="F90" i="1" s="1"/>
  <c r="E88" i="1"/>
  <c r="F88" i="1" s="1"/>
  <c r="E87" i="1"/>
  <c r="E150" i="1"/>
  <c r="F150" i="1" s="1"/>
  <c r="F148" i="1"/>
  <c r="E146" i="1"/>
  <c r="F146" i="1" s="1"/>
  <c r="E144" i="1"/>
  <c r="F144" i="1" s="1"/>
  <c r="E142" i="1"/>
  <c r="F142" i="1" s="1"/>
  <c r="E140" i="1"/>
  <c r="F140" i="1" s="1"/>
  <c r="E138" i="1"/>
  <c r="F138" i="1" s="1"/>
  <c r="E137" i="1"/>
  <c r="F137" i="1" s="1"/>
  <c r="E136" i="1"/>
  <c r="F136" i="1" s="1"/>
  <c r="E135" i="1"/>
  <c r="F135" i="1" s="1"/>
  <c r="E134" i="1"/>
  <c r="F134" i="1" s="1"/>
  <c r="E133" i="1"/>
  <c r="F133" i="1" s="1"/>
  <c r="E131" i="1"/>
  <c r="F131" i="1" s="1"/>
  <c r="E129" i="1"/>
  <c r="F129" i="1" s="1"/>
  <c r="E127" i="1"/>
  <c r="E126" i="1"/>
  <c r="E125" i="1"/>
  <c r="F125" i="1" s="1"/>
  <c r="E124" i="1"/>
  <c r="F124" i="1" s="1"/>
  <c r="E123" i="1"/>
  <c r="F123" i="1" s="1"/>
  <c r="E121" i="1"/>
  <c r="F121" i="1" s="1"/>
  <c r="E119" i="1"/>
  <c r="F119" i="1" s="1"/>
  <c r="E117" i="1"/>
  <c r="F117" i="1" s="1"/>
  <c r="E116" i="1"/>
  <c r="F116" i="1" s="1"/>
  <c r="E115" i="1"/>
  <c r="F115" i="1" s="1"/>
  <c r="E114" i="1"/>
  <c r="F114" i="1" s="1"/>
  <c r="D164" i="1"/>
  <c r="D163" i="1"/>
  <c r="D162" i="1"/>
  <c r="D155" i="1"/>
  <c r="F127" i="1"/>
  <c r="F126" i="1"/>
  <c r="F107" i="1"/>
  <c r="F106" i="1"/>
  <c r="F105" i="1"/>
  <c r="F103" i="1"/>
  <c r="F98" i="1"/>
  <c r="F96" i="1"/>
  <c r="F87" i="1"/>
  <c r="F83" i="1"/>
  <c r="F81" i="1"/>
  <c r="F80" i="1"/>
  <c r="F79" i="1"/>
  <c r="F78" i="1"/>
  <c r="E71" i="1"/>
  <c r="F63" i="1"/>
  <c r="F49" i="1"/>
  <c r="F50" i="1"/>
  <c r="F51" i="1"/>
  <c r="F52" i="1"/>
  <c r="F53" i="1"/>
  <c r="F54" i="1"/>
  <c r="F48" i="1"/>
  <c r="F14" i="1"/>
  <c r="F12" i="1"/>
  <c r="D204" i="1"/>
  <c r="F204" i="1" s="1"/>
  <c r="F203" i="1"/>
  <c r="F207" i="1"/>
  <c r="F208" i="1"/>
  <c r="F202" i="1"/>
  <c r="F192" i="1"/>
  <c r="F193" i="1"/>
  <c r="F194" i="1"/>
  <c r="F195" i="1"/>
  <c r="F196" i="1"/>
  <c r="F197" i="1"/>
  <c r="F198" i="1"/>
  <c r="F199" i="1"/>
  <c r="F191" i="1"/>
  <c r="F185" i="1"/>
  <c r="F176" i="1"/>
  <c r="F178" i="1"/>
  <c r="F179" i="1"/>
  <c r="F180" i="1"/>
  <c r="F175" i="1"/>
  <c r="F171" i="1"/>
  <c r="F170" i="1"/>
  <c r="F11" i="10" l="1"/>
  <c r="F272" i="1"/>
  <c r="F151" i="1"/>
  <c r="F109" i="1"/>
  <c r="F206" i="1"/>
  <c r="F205" i="1"/>
  <c r="F13" i="10" l="1"/>
  <c r="F209" i="1"/>
  <c r="F200" i="1"/>
  <c r="F172" i="1"/>
  <c r="F186" i="1"/>
  <c r="F210" i="1" l="1"/>
  <c r="F181" i="1"/>
  <c r="F187" i="1" s="1"/>
  <c r="F165" i="1" l="1"/>
  <c r="F59" i="1"/>
  <c r="F156" i="1"/>
  <c r="F157" i="1"/>
  <c r="F158" i="1"/>
  <c r="F155" i="1"/>
  <c r="F71" i="1"/>
  <c r="F73" i="1" s="1"/>
  <c r="F152" i="1" s="1"/>
  <c r="F65" i="1"/>
  <c r="F62" i="1"/>
  <c r="F60" i="1"/>
  <c r="F66" i="1" l="1"/>
  <c r="F159" i="1"/>
  <c r="F11" i="1" l="1"/>
  <c r="F13" i="1"/>
  <c r="F10" i="1"/>
  <c r="F19" i="1"/>
  <c r="F20" i="1"/>
  <c r="F21" i="1"/>
  <c r="F22" i="1"/>
  <c r="F23" i="1"/>
  <c r="F24" i="1"/>
  <c r="F26" i="1"/>
  <c r="F27" i="1"/>
  <c r="F28" i="1"/>
  <c r="F29" i="1"/>
  <c r="F30" i="1"/>
  <c r="F31" i="1"/>
  <c r="F18" i="1"/>
  <c r="F35" i="1"/>
  <c r="F45" i="1" s="1"/>
  <c r="F164" i="1"/>
  <c r="F163" i="1"/>
  <c r="F162" i="1"/>
  <c r="F166" i="1" l="1"/>
  <c r="F15" i="1"/>
  <c r="F55" i="1"/>
  <c r="F32" i="1"/>
</calcChain>
</file>

<file path=xl/sharedStrings.xml><?xml version="1.0" encoding="utf-8"?>
<sst xmlns="http://schemas.openxmlformats.org/spreadsheetml/2006/main" count="2123" uniqueCount="619">
  <si>
    <t>MISSION DE CONCEPTION, D’ETUDES ET DE SUIVI DES TRAVAUX DE REALISATION DE POSTES DE POLICE FRONTALIERS ET DE SALLES SERVEURS DANS L’ESPACE UEMOA (PROJET 2i-PPF)</t>
  </si>
  <si>
    <t>Dévis estimatif et quantitatif</t>
  </si>
  <si>
    <t>POSTE DE POLICE</t>
  </si>
  <si>
    <t>N°</t>
  </si>
  <si>
    <t>Désignation des ouvrages</t>
  </si>
  <si>
    <t>Unité</t>
  </si>
  <si>
    <t>Quantité</t>
  </si>
  <si>
    <t>Prix Unitaire (FCFA)</t>
  </si>
  <si>
    <t>Prix Total                                              (FCFA)</t>
  </si>
  <si>
    <t>RDC</t>
  </si>
  <si>
    <t>TRAVAUX PREPARATOIRES</t>
  </si>
  <si>
    <t>Installation de chantier/ Amenée et repli du matériel comprenant préparation des surfaces, construction de bureaux de chantier équipé, clôture provisoire, panneau de chantier, branchement provisoire eau et électricité, frais divers</t>
  </si>
  <si>
    <t>Ens</t>
  </si>
  <si>
    <t>Etudes techniques détaillées (plans d'exécution, notes de calcul, bilans de puissance, etc.) : BA &amp; charpente-couverture / Electricité courants fort &amp; faible / Plomberie sanitaire.</t>
  </si>
  <si>
    <t>Implantation de l'ouvrage à l'aide d'un appareil topo</t>
  </si>
  <si>
    <t>Fourniture des plans de recollement</t>
  </si>
  <si>
    <t>Nivellement mécanique sans apport de terre</t>
  </si>
  <si>
    <t>m²</t>
  </si>
  <si>
    <t>TOTAL 0</t>
  </si>
  <si>
    <t>I</t>
  </si>
  <si>
    <t>FONDATIONS / INFRASTRUCTURES</t>
  </si>
  <si>
    <t>Fouille en puits pour semelles isolées</t>
  </si>
  <si>
    <r>
      <t>m</t>
    </r>
    <r>
      <rPr>
        <vertAlign val="superscript"/>
        <sz val="10"/>
        <rFont val="Tw Cen MT"/>
        <family val="2"/>
      </rPr>
      <t>3</t>
    </r>
  </si>
  <si>
    <t>Fouille en rigole pour semelles filantes</t>
  </si>
  <si>
    <t>Remblai sans apport latéritique compacté</t>
  </si>
  <si>
    <t>Remblai d'apport latéritique compacté à 95% de l'optimum proctor modifié</t>
  </si>
  <si>
    <t xml:space="preserve">Béton de propreté dosé à 150 kg/m3  de CPA 45 de 5 cm d'épaisseur </t>
  </si>
  <si>
    <t>Béton armé pour semelles isolées dosé à 350 kg/m3 de CPA 45, armatures et toutes sujétions</t>
  </si>
  <si>
    <t>Béton armé pour potelets et parties enterrées des poteaux dosé à 350 kg/m3 de CPA 45, compris coffrage, armature et toutes sujétions</t>
  </si>
  <si>
    <t>Béton armé pour  renfort sous dallage dosé à 350 kg/m3 de CPA 45, compris coffrage, armature et toutes sujétions</t>
  </si>
  <si>
    <t>Béton armé pour semelles filantes dosé à 350 kg/m3 de CPA 45, armatures et toutes sujétions</t>
  </si>
  <si>
    <t>Maçonnerie en agglos pleins de 20 cm d'épaisseur en soubassement suivant plans de fondations</t>
  </si>
  <si>
    <t>Béton armé pour longrines dosé à 350 kg/m3 de CPA 45, armatures et toutes sujétions</t>
  </si>
  <si>
    <t>Béton armé dosé à 350 kg/m3 de CPA 45 pour aire de dallage de 10 cm d'épaisseur y compris renfort sous dallage, y compris joint de retrait, joint de construction, arrêt de dallage, film polyane, etc.</t>
  </si>
  <si>
    <t>Béton armé pour bêches, formes de rampes, emmarchements et parois du bac à  fleurs, dosé à 350 kg/m3 de CPA 45 compris coffrage et armatures</t>
  </si>
  <si>
    <t>Traitement anti-termites au sol y compris film polyéthylène 180 μm posé par thermolaquage suivant le Protocole SBPS/BPC-TERMITES ou similaire</t>
  </si>
  <si>
    <t>TOTAL I</t>
  </si>
  <si>
    <t>II</t>
  </si>
  <si>
    <t>BETON - BETON ARME EN SUPERSTRUCTURE</t>
  </si>
  <si>
    <t>Béton armé pour poteaux et raidisseurs verticaux  dosé à 350 kg/m3 de CPA 45 y compris coffrage, armatures et toutes sujétions</t>
  </si>
  <si>
    <t>Béton armé pour appui des baies dosé à 350 kg/m3 de CPA 45, y compris coffrage, armatures et toutes sujétions</t>
  </si>
  <si>
    <t>Béton armé pour linteaux et chainages horizontaux dosé à 350 kg/m3 de CPA 45 y compris coffrage, armatures et toutes sujétions</t>
  </si>
  <si>
    <t>Béton armé pour  chainages horizontaux Ch2 et Rampant dosé à 350 kg/m3 de CPA 45 y compris coffrage, armatures et toutes sujétions</t>
  </si>
  <si>
    <t>Béton armé pour poutres dosé à 350 kg/m3 de CPA 45 y compris coffrage, armatures et toutes sujétions</t>
  </si>
  <si>
    <t>Plancher en corps creux 16+5, y compris nervures et dalle de compression</t>
  </si>
  <si>
    <t>Béton armé pour forme de pente dosé à 350 kg/m3 de CPA 45 y compris coffrage, armatures et toutes sujétions</t>
  </si>
  <si>
    <t>Béton armé pour becquet et acrotère dosé à 350 kg/m3 de CPA 45 y compris coffrage, armatures et toutes sujétions</t>
  </si>
  <si>
    <t>Béton armé pour dalle pleine dosé à 350 kg/m3 de CPA 45 y compris coffrage, armatures et toutes sujétions</t>
  </si>
  <si>
    <t>Béton armé pour dalle pleine dosé à 350 kg/m3 de CPA 45 y compris coffrage, armatures et toutes sujétions pour brise soleil</t>
  </si>
  <si>
    <t>TOTAL II</t>
  </si>
  <si>
    <t>III</t>
  </si>
  <si>
    <t>MACONNERIES - ENDUITS</t>
  </si>
  <si>
    <t>Maçonnerie d'élévation en agglos creux de 20 cm d'épaisseur</t>
  </si>
  <si>
    <t>Maçonnerie d'élévation en agglos creux de 10 cm d'épaisseur</t>
  </si>
  <si>
    <t>Maçonnerie d'élévation en agglos pleins de 20 cm d'épaisseur</t>
  </si>
  <si>
    <t>Enduit extérieur taloché sur murs, poteaux libres et soubassement, réalisé en 2 couches dont une couche d'accrochage dosé à 400 kg/m3 et une couche de finition talochée au mortier de ciment dosé à 400 kg/m3 de CPA 45 y compris raccordement et calfeutrement</t>
  </si>
  <si>
    <t>Enduit intérieur lissé sur murs, réalisé en 2 couches dont une couche d'accrochage dosé à 400 kg/m3 et une couche de finition lissée au mortier de ciment dosé à 400 kg/m3 de CPA 45 y compris raccordement et calfeutrement</t>
  </si>
  <si>
    <t>Enduit taloché appliqué en sous face dalle, poteaux libres et soubassement, réalisé en 2 couches dont une couche d'accrochage dosé à 400 kg/m3 et une couche de finition talochée au mortier de ciment dosé à 400 kg/m3 de CPA 45 y compris raccordement et calfeutrement</t>
  </si>
  <si>
    <t>Clastras d'aération de 20x20 y compris grille anti-moustique</t>
  </si>
  <si>
    <t>U</t>
  </si>
  <si>
    <t>TOTAL III</t>
  </si>
  <si>
    <t>IV</t>
  </si>
  <si>
    <t>CHARPENTE - COUVERTURE - ETANCHEITE</t>
  </si>
  <si>
    <t>CHARPENTE</t>
  </si>
  <si>
    <t>4.1.1</t>
  </si>
  <si>
    <t>Fourniture et pose de traverse en IPN 100 traité de l'antirouille</t>
  </si>
  <si>
    <t>ml</t>
  </si>
  <si>
    <t>4.1.2</t>
  </si>
  <si>
    <t>Fourniture et pose de panne en IPN 80 traité à l'antirouille</t>
  </si>
  <si>
    <t>COUVERTURE</t>
  </si>
  <si>
    <t>4.2.1</t>
  </si>
  <si>
    <t>Fourniture et pose de couverture en tôle bac alu 60/100ème quatre ondulations y compris toutes sujétions de pose</t>
  </si>
  <si>
    <t>4.2.2</t>
  </si>
  <si>
    <t>Fourniture et pose de tôle faitière</t>
  </si>
  <si>
    <t>ETANCHEITE</t>
  </si>
  <si>
    <t>4.3.1</t>
  </si>
  <si>
    <t>Fourniture et pose de complexe d'étanchéité avec surface de finition en irène y compris toutes sujétions</t>
  </si>
  <si>
    <t>TOTAL IV</t>
  </si>
  <si>
    <t>V</t>
  </si>
  <si>
    <t>MENUISERIE ALUMINIUM-VITRERIE-BOIS-METALLIQUE</t>
  </si>
  <si>
    <t>MENUISERIE ALUMINIUM - VITRERIE</t>
  </si>
  <si>
    <t>5.1.1</t>
  </si>
  <si>
    <r>
      <t xml:space="preserve">CAV-01 : </t>
    </r>
    <r>
      <rPr>
        <sz val="10"/>
        <rFont val="Tw Cen MT"/>
        <family val="2"/>
      </rPr>
      <t>Cloison en aluminium
vitré avec imposte
(H=80 cm)</t>
    </r>
  </si>
  <si>
    <t>- 190x300 cm</t>
  </si>
  <si>
    <t>Sous total 5.1</t>
  </si>
  <si>
    <t>MENUISERIE BOIS</t>
  </si>
  <si>
    <t>5.2.1</t>
  </si>
  <si>
    <r>
      <t xml:space="preserve">PIB-01 : </t>
    </r>
    <r>
      <rPr>
        <sz val="10"/>
        <rFont val="Tw Cen MT"/>
        <family val="2"/>
      </rPr>
      <t>Porte comprenant un cadre métallique et un battant isoplane en bois et pivotant</t>
    </r>
  </si>
  <si>
    <t>- 70x220 cm</t>
  </si>
  <si>
    <t>- 80x220 cm</t>
  </si>
  <si>
    <t>- 90x220 cm</t>
  </si>
  <si>
    <t>- 100x220 cm</t>
  </si>
  <si>
    <t>5.2.2</t>
  </si>
  <si>
    <r>
      <t xml:space="preserve">PIB-02 : </t>
    </r>
    <r>
      <rPr>
        <sz val="10"/>
        <rFont val="Tw Cen MT"/>
        <family val="2"/>
      </rPr>
      <t>Porte comprenant un cadre métallique et 02 battants isoplane en bois, asymétrique et pivotants</t>
    </r>
  </si>
  <si>
    <t>- 140x220 cm</t>
  </si>
  <si>
    <t>5.2.3</t>
  </si>
  <si>
    <r>
      <rPr>
        <b/>
        <sz val="10"/>
        <rFont val="Tw Cen MT"/>
        <family val="2"/>
      </rPr>
      <t>PBC-01 :</t>
    </r>
    <r>
      <rPr>
        <sz val="10"/>
        <rFont val="Tw Cen MT"/>
        <family val="2"/>
      </rPr>
      <t xml:space="preserve"> Porte comprenant un cadre métallique et un battant isoplane capitonné et pivotant</t>
    </r>
  </si>
  <si>
    <t>PM</t>
  </si>
  <si>
    <t>5.2.4</t>
  </si>
  <si>
    <r>
      <rPr>
        <b/>
        <sz val="10"/>
        <rFont val="Tw Cen MT"/>
        <family val="2"/>
      </rPr>
      <t>ARM-01 :</t>
    </r>
    <r>
      <rPr>
        <sz val="10"/>
        <rFont val="Tw Cen MT"/>
        <family val="2"/>
      </rPr>
      <t xml:space="preserve"> Armoire en bois prof=60 cm à un battant pivottant y compris 03 étagères</t>
    </r>
  </si>
  <si>
    <t>- 50x220 cm</t>
  </si>
  <si>
    <t>- 75x220 cm</t>
  </si>
  <si>
    <t>5.2.5</t>
  </si>
  <si>
    <r>
      <rPr>
        <b/>
        <sz val="10"/>
        <rFont val="Tw Cen MT"/>
        <family val="2"/>
      </rPr>
      <t>ARM-02 :</t>
    </r>
    <r>
      <rPr>
        <sz val="10"/>
        <rFont val="Tw Cen MT"/>
        <family val="2"/>
      </rPr>
      <t xml:space="preserve"> Armoire en bois prof=60 cm à un battant pivottant y compris 01 étagère</t>
    </r>
  </si>
  <si>
    <t>- 50x65 cm</t>
  </si>
  <si>
    <t>- 75x65 cm</t>
  </si>
  <si>
    <t>5.2.6</t>
  </si>
  <si>
    <r>
      <rPr>
        <b/>
        <sz val="10"/>
        <rFont val="Tw Cen MT"/>
        <family val="2"/>
      </rPr>
      <t>ARM-03 :</t>
    </r>
    <r>
      <rPr>
        <sz val="10"/>
        <rFont val="Tw Cen MT"/>
        <family val="2"/>
      </rPr>
      <t xml:space="preserve"> Armoire en bois prof=60 cm à double battant pivottant y compris 03 étagères</t>
    </r>
  </si>
  <si>
    <t>- 95x220 cm</t>
  </si>
  <si>
    <t>- 115x220 cm</t>
  </si>
  <si>
    <t>- 125x220 cm</t>
  </si>
  <si>
    <t>- 145x220 cm</t>
  </si>
  <si>
    <t>- 155x220 cm</t>
  </si>
  <si>
    <t>5.2.7</t>
  </si>
  <si>
    <r>
      <rPr>
        <b/>
        <sz val="10"/>
        <rFont val="Tw Cen MT"/>
        <family val="2"/>
      </rPr>
      <t>ARM-04 :</t>
    </r>
    <r>
      <rPr>
        <sz val="10"/>
        <rFont val="Tw Cen MT"/>
        <family val="2"/>
      </rPr>
      <t xml:space="preserve"> Armoire en bois prof=60 cm à double battant pivotant y compris 01 étagère</t>
    </r>
  </si>
  <si>
    <t>- 95x65 cm</t>
  </si>
  <si>
    <t>- 100x65 cm</t>
  </si>
  <si>
    <t>- 115x65 cm</t>
  </si>
  <si>
    <t>- 125x65 cm</t>
  </si>
  <si>
    <t>- 140x65 cm</t>
  </si>
  <si>
    <t>- 145x65 cm</t>
  </si>
  <si>
    <t>- 155x65 cm</t>
  </si>
  <si>
    <t>Sous total 5.2</t>
  </si>
  <si>
    <t>MENUISERIE METALLIQUE</t>
  </si>
  <si>
    <t>5.3.1</t>
  </si>
  <si>
    <r>
      <rPr>
        <b/>
        <sz val="10"/>
        <rFont val="Tw Cen MT"/>
        <family val="2"/>
      </rPr>
      <t>FMV-01</t>
    </r>
    <r>
      <rPr>
        <sz val="10"/>
        <rFont val="Tw Cen MT"/>
        <family val="2"/>
      </rPr>
      <t xml:space="preserve"> : Fenêtre comprenant un chassis métallique et un vantail pivotant en métallique vitré</t>
    </r>
  </si>
  <si>
    <t>- 60x70 cm</t>
  </si>
  <si>
    <t>- 70x70 cm</t>
  </si>
  <si>
    <t>- 80x120 cm</t>
  </si>
  <si>
    <t>- 70x190 cm</t>
  </si>
  <si>
    <t>5.3.2</t>
  </si>
  <si>
    <r>
      <rPr>
        <b/>
        <sz val="10"/>
        <rFont val="Tw Cen MT"/>
        <family val="2"/>
      </rPr>
      <t>FMV-02</t>
    </r>
    <r>
      <rPr>
        <sz val="10"/>
        <rFont val="Tw Cen MT"/>
        <family val="2"/>
      </rPr>
      <t xml:space="preserve"> : Fenêtre comprenant un chassis métallique et deux vantaux égaux pivotant en métallique vitré</t>
    </r>
  </si>
  <si>
    <t>- 140x120 cm</t>
  </si>
  <si>
    <t>5.3.3</t>
  </si>
  <si>
    <r>
      <rPr>
        <b/>
        <sz val="10"/>
        <rFont val="Tw Cen MT"/>
        <family val="2"/>
      </rPr>
      <t>FMV-03 :</t>
    </r>
    <r>
      <rPr>
        <sz val="10"/>
        <rFont val="Tw Cen MT"/>
        <family val="2"/>
      </rPr>
      <t xml:space="preserve"> Fenêtre comprenant un chassis métallique et trois vantaux égaux en métallique vitré dont 02 pivotants et 01 en accordéon</t>
    </r>
  </si>
  <si>
    <t>- 250x120 cm</t>
  </si>
  <si>
    <t>5.3.4</t>
  </si>
  <si>
    <r>
      <rPr>
        <b/>
        <sz val="10"/>
        <rFont val="Tw Cen MT"/>
        <family val="2"/>
      </rPr>
      <t>FMV-04</t>
    </r>
    <r>
      <rPr>
        <sz val="10"/>
        <rFont val="Tw Cen MT"/>
        <family val="2"/>
      </rPr>
      <t xml:space="preserve"> : Fenêtre comprenant un chassis métallique, 02 vantaux latéraux vitré fixes, 01 imposte vitré fixe et un vantail central pivotant en métallique vitré</t>
    </r>
  </si>
  <si>
    <t>- 118x120 cm</t>
  </si>
  <si>
    <t>- 119x120 cm</t>
  </si>
  <si>
    <t>- 150x120 cm</t>
  </si>
  <si>
    <t>- 185x120 cm</t>
  </si>
  <si>
    <t>5.3.5</t>
  </si>
  <si>
    <r>
      <rPr>
        <b/>
        <sz val="10"/>
        <rFont val="Tw Cen MT"/>
        <family val="2"/>
      </rPr>
      <t>FMW-05</t>
    </r>
    <r>
      <rPr>
        <sz val="10"/>
        <rFont val="Tw Cen MT"/>
        <family val="2"/>
      </rPr>
      <t xml:space="preserve"> : Fenêtre comprenant un chassis métallique et un vantail fixe en métallique vitré</t>
    </r>
  </si>
  <si>
    <t>- 125x120 cm</t>
  </si>
  <si>
    <t>5.3.6</t>
  </si>
  <si>
    <r>
      <rPr>
        <b/>
        <sz val="10"/>
        <rFont val="Tw Cen MT"/>
        <family val="2"/>
      </rPr>
      <t>GMB-01</t>
    </r>
    <r>
      <rPr>
        <sz val="10"/>
        <rFont val="Tw Cen MT"/>
        <family val="2"/>
      </rPr>
      <t xml:space="preserve"> : Grille métallique barreaudée</t>
    </r>
  </si>
  <si>
    <t>- 425x70 cm</t>
  </si>
  <si>
    <t>5.3.7</t>
  </si>
  <si>
    <r>
      <rPr>
        <b/>
        <sz val="10"/>
        <rFont val="Tw Cen MT"/>
        <family val="2"/>
      </rPr>
      <t>GMP-01</t>
    </r>
    <r>
      <rPr>
        <sz val="10"/>
        <rFont val="Tw Cen MT"/>
        <family val="2"/>
      </rPr>
      <t xml:space="preserve"> : Grille métallique de protection pour fenêtre</t>
    </r>
  </si>
  <si>
    <t>5.3.8</t>
  </si>
  <si>
    <r>
      <rPr>
        <b/>
        <sz val="10"/>
        <rFont val="Tw Cen MT"/>
        <family val="2"/>
      </rPr>
      <t>EMB-01</t>
    </r>
    <r>
      <rPr>
        <sz val="10"/>
        <rFont val="Tw Cen MT"/>
        <family val="2"/>
      </rPr>
      <t xml:space="preserve"> : Ensemble métallique barreaudé comprenant un porte métallique barreaudée et un battant barreaudé fixe</t>
    </r>
  </si>
  <si>
    <t>- 200x200 cm</t>
  </si>
  <si>
    <t>5.3.9</t>
  </si>
  <si>
    <r>
      <rPr>
        <b/>
        <sz val="10"/>
        <rFont val="Tw Cen MT"/>
        <family val="2"/>
      </rPr>
      <t>EMB-02</t>
    </r>
    <r>
      <rPr>
        <sz val="10"/>
        <rFont val="Tw Cen MT"/>
        <family val="2"/>
      </rPr>
      <t xml:space="preserve"> : Ensemble métallique barreaudé comprenant une porte métallique barreaudée à un battant pivotant + 02 battants métalliques barreaudés fixes + une imposte métallique barreaudée</t>
    </r>
  </si>
  <si>
    <t>- 255x345 cm</t>
  </si>
  <si>
    <t>5.3.10</t>
  </si>
  <si>
    <r>
      <rPr>
        <b/>
        <sz val="10"/>
        <rFont val="Tw Cen MT"/>
        <family val="2"/>
      </rPr>
      <t>PMB-01</t>
    </r>
    <r>
      <rPr>
        <sz val="10"/>
        <rFont val="Tw Cen MT"/>
        <family val="2"/>
      </rPr>
      <t>: Porte métallique blindée comprenant un battant pivotant</t>
    </r>
  </si>
  <si>
    <t>5.3.11</t>
  </si>
  <si>
    <r>
      <rPr>
        <b/>
        <sz val="10"/>
        <rFont val="Tw Cen MT"/>
        <family val="2"/>
      </rPr>
      <t>PMP-01</t>
    </r>
    <r>
      <rPr>
        <sz val="10"/>
        <rFont val="Tw Cen MT"/>
        <family val="2"/>
      </rPr>
      <t xml:space="preserve"> : Porte comprenant un battant pivotant métallique en double peau et un cadre métallique</t>
    </r>
  </si>
  <si>
    <t>- 50x230 cm</t>
  </si>
  <si>
    <t>5.3.12</t>
  </si>
  <si>
    <r>
      <rPr>
        <b/>
        <sz val="10"/>
        <rFont val="Tw Cen MT"/>
        <family val="2"/>
      </rPr>
      <t>PMV-01</t>
    </r>
    <r>
      <rPr>
        <sz val="10"/>
        <rFont val="Tw Cen MT"/>
        <family val="2"/>
      </rPr>
      <t xml:space="preserve"> : Porte comprenant un cadre métallique et deux battants métallique vitrés asymétriques et pivotants</t>
    </r>
  </si>
  <si>
    <t>- 140x230 cm</t>
  </si>
  <si>
    <t>5.3.13</t>
  </si>
  <si>
    <r>
      <rPr>
        <b/>
        <sz val="10"/>
        <rFont val="Tw Cen MT"/>
        <family val="2"/>
      </rPr>
      <t>PMV-02</t>
    </r>
    <r>
      <rPr>
        <sz val="10"/>
        <rFont val="Tw Cen MT"/>
        <family val="2"/>
      </rPr>
      <t xml:space="preserve"> : Porte comprenant un cadre métallique et deux battants métallique vitrés, égaux et pivotants</t>
    </r>
  </si>
  <si>
    <t>- 180x230 cm</t>
  </si>
  <si>
    <t>Sous total 5.3</t>
  </si>
  <si>
    <t>TOTAL V</t>
  </si>
  <si>
    <t>VI</t>
  </si>
  <si>
    <t>REVETEMENTS ET FAUX-PLAFOND</t>
  </si>
  <si>
    <r>
      <rPr>
        <b/>
        <sz val="10"/>
        <rFont val="Tw Cen MT"/>
        <family val="2"/>
      </rPr>
      <t xml:space="preserve">CGCO: </t>
    </r>
    <r>
      <rPr>
        <sz val="10"/>
        <rFont val="Tw Cen MT"/>
        <family val="2"/>
      </rPr>
      <t>Carrelage en grès cérame ordinaire pleine masse (mât) y compris plinthe</t>
    </r>
  </si>
  <si>
    <r>
      <rPr>
        <b/>
        <sz val="10"/>
        <rFont val="Tw Cen MT"/>
        <family val="2"/>
      </rPr>
      <t>F:</t>
    </r>
    <r>
      <rPr>
        <sz val="10"/>
        <rFont val="Tw Cen MT"/>
        <family val="2"/>
      </rPr>
      <t xml:space="preserve"> Carreaux faïence sur mur (H=3,00m)</t>
    </r>
  </si>
  <si>
    <t>Etanchéïté en emulsion bitumineuse sous carrelage salle d'eau y compris relevé sur murs de 1,00 m</t>
  </si>
  <si>
    <t>Fourniture et pose de faux plafond en Staff</t>
  </si>
  <si>
    <t>TOTAL VI</t>
  </si>
  <si>
    <t>VII</t>
  </si>
  <si>
    <t xml:space="preserve">PEINTURE </t>
  </si>
  <si>
    <r>
      <rPr>
        <b/>
        <sz val="10"/>
        <rFont val="Tw Cen MT"/>
        <family val="2"/>
      </rPr>
      <t>PV:</t>
    </r>
    <r>
      <rPr>
        <sz val="10"/>
        <rFont val="Tw Cen MT"/>
        <family val="2"/>
      </rPr>
      <t xml:space="preserve"> Peinture vinylique y compris enduit de lissage sur murs</t>
    </r>
  </si>
  <si>
    <r>
      <rPr>
        <b/>
        <sz val="10"/>
        <rFont val="Tw Cen MT"/>
        <family val="2"/>
      </rPr>
      <t>PV:</t>
    </r>
    <r>
      <rPr>
        <sz val="10"/>
        <rFont val="Tw Cen MT"/>
        <family val="2"/>
      </rPr>
      <t xml:space="preserve"> Peinture vinylique sur faux plafond</t>
    </r>
  </si>
  <si>
    <r>
      <rPr>
        <b/>
        <sz val="10"/>
        <rFont val="Tw Cen MT"/>
        <family val="2"/>
      </rPr>
      <t>EP:</t>
    </r>
    <r>
      <rPr>
        <sz val="10"/>
        <rFont val="Tw Cen MT"/>
        <family val="2"/>
      </rPr>
      <t>Enduit plastique grains fins frotassés (Extérieur)</t>
    </r>
  </si>
  <si>
    <t>Peinture/vernis sur menuiseries métalliques et bois</t>
  </si>
  <si>
    <t>TOTAL VII</t>
  </si>
  <si>
    <t>VIII</t>
  </si>
  <si>
    <t>ALIMENTATION ET EVACUATION DES EAUX</t>
  </si>
  <si>
    <t>Fourniture et pose de tuyauterie PPR PN 16 y compris accessoires de pose et de raccordement</t>
  </si>
  <si>
    <t>8.1.1</t>
  </si>
  <si>
    <t>Diamètre 25</t>
  </si>
  <si>
    <t>8.1.2</t>
  </si>
  <si>
    <t>Robinet d'arrêt de diamètre 25</t>
  </si>
  <si>
    <t>Sous total 8.1</t>
  </si>
  <si>
    <t>Tuyauteries d'évacuation des eaux usées et des eaux vannes y compris accessoires de pose,  raccordements et toutes comprises</t>
  </si>
  <si>
    <t xml:space="preserve"> </t>
  </si>
  <si>
    <t>8.2.1</t>
  </si>
  <si>
    <t>PVC diamètre 125</t>
  </si>
  <si>
    <t>8.2.2</t>
  </si>
  <si>
    <t>PVC diamètre 110</t>
  </si>
  <si>
    <t>8.2.3</t>
  </si>
  <si>
    <t>PVC diamètre 100</t>
  </si>
  <si>
    <t>8.2.4</t>
  </si>
  <si>
    <t>PVC diamètre 75</t>
  </si>
  <si>
    <t>8.2.5</t>
  </si>
  <si>
    <t>PVC diamètre 40</t>
  </si>
  <si>
    <t>8.2.6</t>
  </si>
  <si>
    <t>PVC diamètre 32</t>
  </si>
  <si>
    <t>Sous total 8.2</t>
  </si>
  <si>
    <t>EVACUATION DES EAUX PLUVIALES</t>
  </si>
  <si>
    <t>8.3.1</t>
  </si>
  <si>
    <t>Fourniture et pose de tuyautérie d'evacuation des eaux pluviales de la toiture terrasse   y compris accéssoires de raccordement et toutes sujétions de pose</t>
  </si>
  <si>
    <t>8.3.1.1</t>
  </si>
  <si>
    <t>ens</t>
  </si>
  <si>
    <t>Sous total 8.3</t>
  </si>
  <si>
    <t>TOTAL VIII</t>
  </si>
  <si>
    <t>IX</t>
  </si>
  <si>
    <t>APPAREILS SANITAIRES</t>
  </si>
  <si>
    <t>Fournitures et pose des appareils sanitaires y compris raccordement et toutes sujétions comprises</t>
  </si>
  <si>
    <t>9.1.1</t>
  </si>
  <si>
    <t>Lavabo de la gamme Victoria de chez ROCA y compris robinet eau froide</t>
  </si>
  <si>
    <t>9.1.2</t>
  </si>
  <si>
    <t>WC complet de la gamme Victoria de chez ROCA</t>
  </si>
  <si>
    <t>9.1.3</t>
  </si>
  <si>
    <t>WC surélevé pour PMR de la gamme Victoria de chez ROCA</t>
  </si>
  <si>
    <t>9.1.4</t>
  </si>
  <si>
    <t>Colonne de douche complet y compris robinet mitigeur de chez grohe</t>
  </si>
  <si>
    <t>9.1.5</t>
  </si>
  <si>
    <t>Chauffe eau électrique de 80 litres de chez ARISTON</t>
  </si>
  <si>
    <t>9.1.6</t>
  </si>
  <si>
    <t>Chauffe eau électrique de 50 litres de chez ARISTON</t>
  </si>
  <si>
    <t>9.1.7</t>
  </si>
  <si>
    <t>Chauffe eau électrique de 30 litres de chez ARISTON</t>
  </si>
  <si>
    <t>9.1.8</t>
  </si>
  <si>
    <t>Urinoir complet de chez ROCA y compris son robinet temporisé</t>
  </si>
  <si>
    <t>9.1.9</t>
  </si>
  <si>
    <t>Pose de robinet d'arrosage DN 15/21</t>
  </si>
  <si>
    <t>Sous total 9.1</t>
  </si>
  <si>
    <t>Fourniture et pose d'accessoires Sanitaires</t>
  </si>
  <si>
    <t>9.2.1</t>
  </si>
  <si>
    <t>Miroir de 50 x 60</t>
  </si>
  <si>
    <t>9.2.2</t>
  </si>
  <si>
    <t>Porte papier hygiénique</t>
  </si>
  <si>
    <t>9.2.3</t>
  </si>
  <si>
    <t>Porte balaie pour wc</t>
  </si>
  <si>
    <t>9.2.4</t>
  </si>
  <si>
    <t>Porte serviette à une branche</t>
  </si>
  <si>
    <t>9.2.5</t>
  </si>
  <si>
    <t>Porte savon</t>
  </si>
  <si>
    <t>9.2.6</t>
  </si>
  <si>
    <t>Tablette de lavabo</t>
  </si>
  <si>
    <t>9.2.7</t>
  </si>
  <si>
    <t>siphon de sol DN 40 en inox</t>
  </si>
  <si>
    <t>Sous total 9.2</t>
  </si>
  <si>
    <t>TOTAL XI</t>
  </si>
  <si>
    <t>X</t>
  </si>
  <si>
    <t>ELECTRICITE COURANT FORT-COURANT FAIBLE-CLIMATISATION</t>
  </si>
  <si>
    <t>Amenée d'énergie</t>
  </si>
  <si>
    <t>10.1.2</t>
  </si>
  <si>
    <t>Fourniture et pose de chemin de câble en tôle galvanisée ou acier inoxydable à bord droit 150x400 mm ep:1.0</t>
  </si>
  <si>
    <t>10.1.3</t>
  </si>
  <si>
    <t>Fourniture et pose d'un ensemble de fourreautage et filerie encastré et sous goulottes Legrand, y compris boîtes de dérivation, boîtes d'encastrement, les amenées d'énergie au droit des interrupteurs, d'appareils d'éclairage, de prises de courant, de climatisation,  ventilation, autocommutateur, centrale de détection incendie, onduleur, contrôle d'accès, enseigne lumineuse et totem  y compris toute sujétion pour la réalisation complète des installations électriques</t>
  </si>
  <si>
    <t>10.1.4</t>
  </si>
  <si>
    <t>Coffret électrique CE conformément au descriptif y compris toute sujétion</t>
  </si>
  <si>
    <t>10.1.5</t>
  </si>
  <si>
    <t>Fourniture et pose d'un tableau divisionnaire y compris protection par parafoudre modulaire BT y compris toute sujétion de pose</t>
  </si>
  <si>
    <t>Fourniture et installation d'un paratonnerre y compris toutes sujétions de mise en œuvre</t>
  </si>
  <si>
    <t>Fourniture et pose d'un ensemble de fourreautage en tube ICT gris et filerie encastré et sous goulottes Legrand, y compris boîtes de dérivation et d'encastrement  pour prise de courant ondulé et toute sujétion pour la réalisation complète du réseau ondulé et raccordement à l'onduleur.</t>
  </si>
  <si>
    <t>Fourniture et pose d'un onduleur online de puissance minimale 15 kVA triphasé+neutre 230V/400V 50Hz avec une autonomie de 15 mn à puissance max y compris toute sujétion de pose</t>
  </si>
  <si>
    <t>Fourniture et pose d'un tableau de protection TGCRA pour courant regulé y compris toute sujétion de pose</t>
  </si>
  <si>
    <t>Liaison TGBTA-Onduleur par câble U1000 R02V 4*25 mm² cu +1*16 mm² cu y compris toute sujétion de pose</t>
  </si>
  <si>
    <t>Liaison Onduleur-TGCRA par câble U1000 R02V 5*10 mm² cu y compris toute sujétion de pose</t>
  </si>
  <si>
    <t>Sous total 10.1</t>
  </si>
  <si>
    <t>Courant faible</t>
  </si>
  <si>
    <t>10.2.1</t>
  </si>
  <si>
    <t>Réseau informatique et téléphonique comprenant fourreautage en tube ICT gris, câblage cat 6 RJ 45 y compris chemin de câble en acier  ou goulotte DLP 50x150 avec 2 compartiments au besoin et  toutes sujétions</t>
  </si>
  <si>
    <t>Fourniture et pose d'un réseau de câble coaxial d'impédance 75 ohm et toutes sujétions</t>
  </si>
  <si>
    <t>Fourniture et pose d'armoire de brassage 19"22U équipée y compris toutes sujétion de pose</t>
  </si>
  <si>
    <t>Switch informatique manageable rackable de 48 ports</t>
  </si>
  <si>
    <t>Panneau de brassage 48 ports</t>
  </si>
  <si>
    <t>Fourniture et pose d'un Autocom numérique IPBX pour gestion des communications</t>
  </si>
  <si>
    <t>Téléviseur LG UHD 4K de 65 pouces Série UN71 Active HDR 4K WebOS Smart AI ThinQ</t>
  </si>
  <si>
    <t>Sous total 10.2</t>
  </si>
  <si>
    <t>Appareils d'éclairage</t>
  </si>
  <si>
    <t>10.3.1</t>
  </si>
  <si>
    <t>Réglette de 120 cm équipée d'un tube fluorescent LED T8</t>
  </si>
  <si>
    <t>Réglette étanche de 120 cm équipée d'un tube fluorescent LED T8</t>
  </si>
  <si>
    <t>Lampe à grille de 120x30 cm avec reflecteur équipée de 02 tubes fluorescents LED T8</t>
  </si>
  <si>
    <t>Fourniture et pose d'applique sanitaire</t>
  </si>
  <si>
    <t>Sous total 10.3</t>
  </si>
  <si>
    <t>Petit appareillage</t>
  </si>
  <si>
    <t>10.4.1</t>
  </si>
  <si>
    <t>Interrupteur simple allumage</t>
  </si>
  <si>
    <t>Interrupteur va-et-vient simple allumage</t>
  </si>
  <si>
    <t>Interrupteur simple allumage étanche</t>
  </si>
  <si>
    <t>Bouton poussoir</t>
  </si>
  <si>
    <t>Prise de courrant double 2P+T 220 v, 16A</t>
  </si>
  <si>
    <t>Prise de courrant 2P+T 220 v, 16A</t>
  </si>
  <si>
    <t>Poste de travail comportant 02 prises ondulées, 01 prise secteur, 02 prise informatique RJ45</t>
  </si>
  <si>
    <t>Prise télévision</t>
  </si>
  <si>
    <t>Sous total 10.4</t>
  </si>
  <si>
    <t>CLIMATISATION - VENTILATION</t>
  </si>
  <si>
    <t>10.5.1</t>
  </si>
  <si>
    <t>Climatiseur split système + dismatic 1,50 cv type inverter</t>
  </si>
  <si>
    <t>10.5.2</t>
  </si>
  <si>
    <t>Climatiseur split système + dismatic 3,00 cv type inverter</t>
  </si>
  <si>
    <t>10.5.3</t>
  </si>
  <si>
    <t>Brasseur d'air 56"</t>
  </si>
  <si>
    <t>Sous total 10.5</t>
  </si>
  <si>
    <t>DETECTION - SECURITE - INCENDIE</t>
  </si>
  <si>
    <t>10.6.1</t>
  </si>
  <si>
    <t>Bloc autonome d'éclairage de sécurité</t>
  </si>
  <si>
    <t>10.6.2</t>
  </si>
  <si>
    <t>Détecteur de fumée à principe optique</t>
  </si>
  <si>
    <t>10.6.3</t>
  </si>
  <si>
    <t>Indicateur d'action</t>
  </si>
  <si>
    <t>10.6.4</t>
  </si>
  <si>
    <t>Déclencheur manuel</t>
  </si>
  <si>
    <t>10.6.5</t>
  </si>
  <si>
    <t>Fourniture et pose d'extincteur à poudre A,B,C de 6kg</t>
  </si>
  <si>
    <t>10.6.6</t>
  </si>
  <si>
    <t>Fourniture et pose d'extincteur à CO2 de 6kg</t>
  </si>
  <si>
    <t>10.6.7</t>
  </si>
  <si>
    <t>Extincteur à eau pulvérisée de 6 litres</t>
  </si>
  <si>
    <t>10.6.8</t>
  </si>
  <si>
    <t>Caméra IP dôme fixe full HD JOUR-NUIT ou équivalent, liaisons au terminaux et toutes autres sujétions</t>
  </si>
  <si>
    <t>10.6.9</t>
  </si>
  <si>
    <t>Fourniture et pose d'une centrale de détection incendie</t>
  </si>
  <si>
    <t>10.6.10</t>
  </si>
  <si>
    <t>Alarme sonore émettant du son AFNOR</t>
  </si>
  <si>
    <t>10.6.11</t>
  </si>
  <si>
    <t>Fourniture et pose d'un Serveur d’enregistrement NVR ND9541P 16CH  avec 12 Tera de sauvegarde et écran de visualisation pour gestion de la video surveillance et toutes autres sujétions</t>
  </si>
  <si>
    <t>Sous total 10.6</t>
  </si>
  <si>
    <t>TOTAL X</t>
  </si>
  <si>
    <t>XI</t>
  </si>
  <si>
    <t>AMENAGEMENT EXTERIEUR</t>
  </si>
  <si>
    <t>Fourniture et pose de terre végétale y compris engazonnement</t>
  </si>
  <si>
    <t>Fourniture et pose de plantes de hauteur minimum 1 mètre</t>
  </si>
  <si>
    <t>XII</t>
  </si>
  <si>
    <t>MOBILIERS ET EQUIPEMENTS SPECIFIQUES</t>
  </si>
  <si>
    <t>MOBILIERS</t>
  </si>
  <si>
    <t>12.1.1</t>
  </si>
  <si>
    <t>Ens mobiliers</t>
  </si>
  <si>
    <t>Sous total 12.1</t>
  </si>
  <si>
    <t>EQUIPEMENTS INFORMATIQUES</t>
  </si>
  <si>
    <t>12.2.1</t>
  </si>
  <si>
    <t>ordinateurs PC</t>
  </si>
  <si>
    <t>12.2.2</t>
  </si>
  <si>
    <t>Lecteurs de documents de voyage</t>
  </si>
  <si>
    <t>12.2.3</t>
  </si>
  <si>
    <t>Lecteurs d'empreintes digital</t>
  </si>
  <si>
    <t>12.2.4</t>
  </si>
  <si>
    <t>Webcam</t>
  </si>
  <si>
    <t>12.2.5</t>
  </si>
  <si>
    <t>Disques durs externes avec protection contre les chocs</t>
  </si>
  <si>
    <t>12.2.6</t>
  </si>
  <si>
    <t>Imprimantes (Multifonctionelle)</t>
  </si>
  <si>
    <t>Sous total 12.2</t>
  </si>
  <si>
    <t>EQUIPEMENTS SPECIFIQUES</t>
  </si>
  <si>
    <t>12.3.1</t>
  </si>
  <si>
    <t>Lit médical</t>
  </si>
  <si>
    <t>12.3.2</t>
  </si>
  <si>
    <t>Table d'examen</t>
  </si>
  <si>
    <t>12.3.3</t>
  </si>
  <si>
    <t>Mini incinérateur pour déchets</t>
  </si>
  <si>
    <t>12.3.4</t>
  </si>
  <si>
    <t>lave-main hygiénique</t>
  </si>
  <si>
    <t>Sous total 12.3</t>
  </si>
  <si>
    <t>TOTAL XII</t>
  </si>
  <si>
    <t>TOTAL GENERAL HTVA POSTE DE POLICE</t>
  </si>
  <si>
    <t>Constructions ou d’extensions / réhabilitations d’infrastructures en vue de l’amélioration des soins de santé et de la qualité des services SDSR dans les districts sanitaires de Boromo et de Dédougou au Burkina Faso
LOT 1
 Tranche ferme : Bloc opératoire CMA</t>
  </si>
  <si>
    <t>BLOC OPERATOIRE CMA DE BOROMO</t>
  </si>
  <si>
    <t xml:space="preserve">Béton de propreté semelle filantes dosé à 150 kg/m3  de CPA 45 de 5 cm d'épaisseur </t>
  </si>
  <si>
    <t xml:space="preserve">Béton de propreté semelle isolée dosé à 150 kg/m3  de CPA 45 de 5 cm d'épaisseur </t>
  </si>
  <si>
    <t>Béton armé pour potelets , amorces et parties enterrées des poteaux dosé à 350 kg/m3 de CPA 45, compris coffrage, armature et toutes sujétions</t>
  </si>
  <si>
    <t>Béton armé pour chainage bas dosé à 350 kg/m3 de CPA 45, armatures et toutes sujétions</t>
  </si>
  <si>
    <t>Béton armé dosé à 300 kg/m3 de CPA 45 pour aire de dallage de 15 cm d'épaisseur y compris renfort sous dallage, y compris joint de retrait, joint de construction, arrêt de dallage, film polyane, etc.</t>
  </si>
  <si>
    <t>Béton pour forme de pente dosé à 350 kg/m3 de CPA 45 y compris coffrage, armatures et toutes sujétions</t>
  </si>
  <si>
    <t>Maçonnerie d'agglos creux de 20x20x40 cm confectionné mécaniquement dosé à 300kg/m3</t>
  </si>
  <si>
    <t>Maçonnerie d'agglos creux de 10x20x40 cm confectionné mécaniquement 300kg/m3</t>
  </si>
  <si>
    <t>Maçonnerie d'élévation en BLT de 20 cm d'épaisseur</t>
  </si>
  <si>
    <t>Claustras en brique de terre y compris grillage anti animaux</t>
  </si>
  <si>
    <t>Maçonnerie de claustras d'aération type boite à lettre+ anti animaux et toutes suggestions</t>
  </si>
  <si>
    <t>Enduit extérieur taloché sur murs, poteaux libres et soubassement, réalisé en 3 couches :
- 1ère couche d'accrochage dosé à 500 kg de ciment
- 2ème couche intermédiaire ou corps d'enduit dosé à 400 kg de ciment.
- 3ème couche de finition dosée à 350 kg de ciment</t>
  </si>
  <si>
    <t>Enduit intérieur lissé sur murs, réalisé en 3 couches :
- 1ère couche d'accrochage dosé à 500 kg de ciment
- 2ème couche intermédiaire ou corps d'enduit dosé à 400 kg de ciment.
- 3ème couche de finition dosée à 300 kg de ciment</t>
  </si>
  <si>
    <t>Enduit taloché appliqué en sous face dalle, poteaux libres et soubassement, réalisé en 3 couches :
- 1ère couche d'accrochage dosé à 500 kg de ciment
- 2ème couche intermédiaire ou corps d'enduit dosé à 400 kg de ciment.
- 3ème couche de finition dosée à 300 kg de ciment</t>
  </si>
  <si>
    <t>Raccordement et calfeutrement des ouvertures</t>
  </si>
  <si>
    <t>Fourniture et pose de pannes en IPN 100 traité de l'antirouille</t>
  </si>
  <si>
    <t>4.1.3</t>
  </si>
  <si>
    <t>Ensemble de platine et pré-platines pour fixation</t>
  </si>
  <si>
    <t>4.1.4</t>
  </si>
  <si>
    <t>Console en cornière de 40x40x5</t>
  </si>
  <si>
    <t>4.1.5</t>
  </si>
  <si>
    <t>Contreventement en cornière de 30x30x4</t>
  </si>
  <si>
    <t>Fourniture et pose de couverture en tôle bac prelaquée 45/100ème quatre ondulations+pose feutre bitumineux y compris toutes sujétions de pose</t>
  </si>
  <si>
    <t>Bardage métalique de 35 cm en tôle de 15/10ème</t>
  </si>
  <si>
    <t>4.3.3</t>
  </si>
  <si>
    <t>Fourniture et pose d'étanchéité multicouche sur dalle et relevé</t>
  </si>
  <si>
    <r>
      <t xml:space="preserve">CAV-02 : </t>
    </r>
    <r>
      <rPr>
        <sz val="10"/>
        <rFont val="Tw Cen MT"/>
        <family val="2"/>
      </rPr>
      <t>Chassis aluminium vitré comprenant deux (02) vantaux identiques et coulissants</t>
    </r>
  </si>
  <si>
    <t>- 118x135 cm</t>
  </si>
  <si>
    <t>- 165x75 cm</t>
  </si>
  <si>
    <t>- 275x135 cm</t>
  </si>
  <si>
    <t>5.1.2</t>
  </si>
  <si>
    <r>
      <t xml:space="preserve">CAVF-01 : </t>
    </r>
    <r>
      <rPr>
        <sz val="10"/>
        <rFont val="Tw Cen MT"/>
        <family val="2"/>
      </rPr>
      <t>Chassis aluminium vitré comprenant un (01) vantail fixe</t>
    </r>
  </si>
  <si>
    <t>- 56x38 cm</t>
  </si>
  <si>
    <r>
      <t xml:space="preserve">PAV-01 : </t>
    </r>
    <r>
      <rPr>
        <sz val="10"/>
        <rFont val="Tw Cen MT"/>
        <family val="2"/>
      </rPr>
      <t>Porte avec cadre en aluminium vitré comprenanrt un battant vitré et pivotant</t>
    </r>
  </si>
  <si>
    <t>- 120x220 cm</t>
  </si>
  <si>
    <t>- 123x220 cm</t>
  </si>
  <si>
    <t>- 116x245 cm</t>
  </si>
  <si>
    <r>
      <t xml:space="preserve">PBM : </t>
    </r>
    <r>
      <rPr>
        <sz val="10"/>
        <rFont val="Tw Cen MT"/>
        <family val="2"/>
      </rPr>
      <t>Porte avec cadre en bois massif comprenant un battant pivotant en bois massif</t>
    </r>
  </si>
  <si>
    <t>- 170x220 cm</t>
  </si>
  <si>
    <t>Fourniture et pose de résine anti-statique pour milieu sanitaire</t>
  </si>
  <si>
    <r>
      <rPr>
        <b/>
        <sz val="10"/>
        <rFont val="Tw Cen MT"/>
        <family val="2"/>
      </rPr>
      <t>F:</t>
    </r>
    <r>
      <rPr>
        <sz val="10"/>
        <rFont val="Tw Cen MT"/>
        <family val="2"/>
      </rPr>
      <t xml:space="preserve"> Carreaux faïence sur mur (H=3,0m)</t>
    </r>
  </si>
  <si>
    <t>Fourniture et pose de faux plafond en staff lisse</t>
  </si>
  <si>
    <t>Fourniture et pose de tuyauterie PEHD PN 16 y compris accessoires de pose et de raccordement</t>
  </si>
  <si>
    <t>Réseau de distribution intérieur (EF) en tube PEHD de 25 mm</t>
  </si>
  <si>
    <t>Réseau Eaux vannes (EV) PVC de 120 mm</t>
  </si>
  <si>
    <t>Réseau Eaux Usées (EU) PVC de 75 mm</t>
  </si>
  <si>
    <t>Descente eaux pluviales PVC de 150 mm</t>
  </si>
  <si>
    <t>W.C en porcelaine vitrifié de couleur blanche à l'anglaise avec réservoir chasse basse mécanisme à bouton poussoir + Double abattant blanc</t>
  </si>
  <si>
    <t>Fourniture et pose de lavabo complet en porcelaine vitrifié sur console</t>
  </si>
  <si>
    <t>Colonne de douche en inox y compris toute sujétion de pose</t>
  </si>
  <si>
    <t>Douchette 1 fonction: jet pluie</t>
  </si>
  <si>
    <t>Pose de robinet de puisage DN 15/21</t>
  </si>
  <si>
    <t>Porte-balai mural avec brosse WC et couvercle</t>
  </si>
  <si>
    <t>10.1.0</t>
  </si>
  <si>
    <t>Mise à la terre en câblage de cuivre de 35 mm² y compris fouille, piquet de terre et toutes sujétion de pose</t>
  </si>
  <si>
    <t>10.1.1</t>
  </si>
  <si>
    <t>Raccordement au regard de tirage</t>
  </si>
  <si>
    <t>10.1.6</t>
  </si>
  <si>
    <t>Fourniture et pose d'un onduleur online de puissance minimale 10 kVA triphasé+neutre 230V/400V 50Hz avec une autonomie de 15 mn à puissance max y compris toute sujétion de pose</t>
  </si>
  <si>
    <t>10.1.7</t>
  </si>
  <si>
    <t>Fourniture et pose d'un tableau électrique TGCR01 pour courant regulé y compris toute sujétion de pose</t>
  </si>
  <si>
    <t>10.1.8</t>
  </si>
  <si>
    <t>Liaison TDA-Onduleur par câble U1000 R02V 4*25 mm² cu +1*16 mm² cu y compris toute sujétion de pose</t>
  </si>
  <si>
    <t>10.1.9</t>
  </si>
  <si>
    <t>Liaison Onduleur-TGCR01 par câble U1000 R02V 5*10 mm² cu y compris toute sujétion de pose</t>
  </si>
  <si>
    <t>Réseau informatique et téléphonique comprenant fourreautage en tube ICT gris, câblage cat 6A RJ 45 y compris chemin de câble en acier  ou goulotte DLP 50x150 avec 2 compartiments au besoin et  toutes sujétions</t>
  </si>
  <si>
    <t>10.2.2</t>
  </si>
  <si>
    <t>10.2.3</t>
  </si>
  <si>
    <t>Fourniture et pose d'armoire de brassage 19" 22U équipée y compris toutes sujétion de pose</t>
  </si>
  <si>
    <t>10.2.4</t>
  </si>
  <si>
    <t>Switch informatique manageable et rackable de 24 ports 1Gbs</t>
  </si>
  <si>
    <t>10.2.5</t>
  </si>
  <si>
    <t>Panneau de brassage 24 ports cat 6A</t>
  </si>
  <si>
    <t>10.3.2</t>
  </si>
  <si>
    <t>Dalle LED 60x60 de 45 Watts</t>
  </si>
  <si>
    <t>10.3.3</t>
  </si>
  <si>
    <t>Spot LED apparent de 12 Watts</t>
  </si>
  <si>
    <t>10.3.4</t>
  </si>
  <si>
    <t>Spot LED encastré de 12 Watts</t>
  </si>
  <si>
    <t>10.3.5</t>
  </si>
  <si>
    <t>Applique murale LED</t>
  </si>
  <si>
    <t>10.4.2</t>
  </si>
  <si>
    <t xml:space="preserve">Interrupteur étanche simple allumage </t>
  </si>
  <si>
    <t>10.4.3</t>
  </si>
  <si>
    <t xml:space="preserve">Interrupteur va-et-vient simple allumage </t>
  </si>
  <si>
    <t>10.4.4</t>
  </si>
  <si>
    <t>Détecteur de présence</t>
  </si>
  <si>
    <t>10.4.5</t>
  </si>
  <si>
    <t>10.4.6</t>
  </si>
  <si>
    <t xml:space="preserve">Système de climatisation Split </t>
  </si>
  <si>
    <t>Groupe extérieur et intérieur SPLIT reversible 2 tubes, marque DAIKIN, MITSUBISHI ELECTRIC, HITACHI, TRANE ou qualité équivalente</t>
  </si>
  <si>
    <t/>
  </si>
  <si>
    <t>Climatiseur split système + dismatic 2,00 cv type inverter</t>
  </si>
  <si>
    <t>Sous total 10.5.1</t>
  </si>
  <si>
    <t>Système de ventilation</t>
  </si>
  <si>
    <t>Caisson de ventilation simple flux, marque VIM, France AIR ou qualité équivalente</t>
  </si>
  <si>
    <t>Caisson d'extraction d'air vicié; modèle MINIBLUE 160</t>
  </si>
  <si>
    <t>Manchettes souples de raccordement</t>
  </si>
  <si>
    <t>Inclus</t>
  </si>
  <si>
    <t>Raccordements électriques, et interrupteur de proximité</t>
  </si>
  <si>
    <t>Caisson double flux modèle VAM800FB de 800 m3/h pour traitement d'air hygiénique</t>
  </si>
  <si>
    <t>Diffusion / Reprise d'air</t>
  </si>
  <si>
    <t>Bouche d'extraction auto reglable Alizé 125 y compris régulateur à débit constant RDR</t>
  </si>
  <si>
    <t>Grille de prise d'air neuf; modèle CXT DN 200</t>
  </si>
  <si>
    <t>Diffuseurs de soufflage type carré modèle DSQ 300x300 de 350m3/h; 400m3/h y compris tout accesseoire de pose et de fixation</t>
  </si>
  <si>
    <t>Grille extérieure circulaire modèle CXT Dn315 de 800m3/h y compris tout accesseoire de pose et de fixation</t>
  </si>
  <si>
    <t>Gaine galva circulaire en spirale - longueurs</t>
  </si>
  <si>
    <t>Gaine spiralée DN 200 y compris singularités</t>
  </si>
  <si>
    <t>Gaine spiralée DN 125 y compris singularités</t>
  </si>
  <si>
    <t>Brasseurs d'air</t>
  </si>
  <si>
    <t>Brasseurs d'air à 3 pales de 56" y compris réhostat</t>
  </si>
  <si>
    <t>Sous total 10.5.2</t>
  </si>
  <si>
    <t>Foureautage et filerie en câble anti feu C2 et CR1 pour câble du réseau de sécurité incendie y compris toutes sujétions de pose</t>
  </si>
  <si>
    <t>Centrale de détection incendie</t>
  </si>
  <si>
    <t>Alarme sonore</t>
  </si>
  <si>
    <t>Détecteur optique de fumée</t>
  </si>
  <si>
    <t>Fourniture et pose d'extincteur à CO2 de 5kg</t>
  </si>
  <si>
    <t>TOTAL MATERNITE ET CENTRE ONE STOP</t>
  </si>
  <si>
    <t>B</t>
  </si>
  <si>
    <t>VOIRIES - RESEAU DIVERS ET AMENAGEMENT PAYSAGER</t>
  </si>
  <si>
    <t>VOIRIES ET RESEAU DIVERS</t>
  </si>
  <si>
    <t>I.1</t>
  </si>
  <si>
    <t xml:space="preserve">RESEAU D'ALIMENTATION EN EAU </t>
  </si>
  <si>
    <t>Fourniture et pose de la tuyauterie d'alimentation en PEHD, PN 10 ou équivalent y compris accessoires de pose et de raccordement (coude, té, manchon taraudé, réducteurs, …), ouverture et fermeture de tranche, grillage aveertisseur et toutes suggestions</t>
  </si>
  <si>
    <t>D25</t>
  </si>
  <si>
    <t>D32</t>
  </si>
  <si>
    <t>D40</t>
  </si>
  <si>
    <t>D50</t>
  </si>
  <si>
    <t>D63</t>
  </si>
  <si>
    <t>Travaux de fouille : ouverture et fermeture de tranchée avec la pose du grillage avertisseur</t>
  </si>
  <si>
    <t xml:space="preserve">Vannes d'arrêts sur le réseau </t>
  </si>
  <si>
    <t xml:space="preserve">Sous total - RESEAU D'ALIMENTATION EN EAU </t>
  </si>
  <si>
    <t>I.2</t>
  </si>
  <si>
    <t xml:space="preserve">EVACUATION EXTERIEURE EU - EV / VRD </t>
  </si>
  <si>
    <t>Fourniture et pose de la tuyauterie d''évacuation EU-EV en PVC EVACUATION ou équivalent y compris accessoires de pose et de raccordement (coude, té, réducteurs, …), ouverture et fermeture de tranche, grillage aveertisseur et toutes suggestions</t>
  </si>
  <si>
    <t>PVC diamètre 160</t>
  </si>
  <si>
    <t>Regard d'évacuation 100x100x50 cm avec couvercle en béton armé y compris toutes sujétions</t>
  </si>
  <si>
    <t>Fosse septique en béton armé et puisards pour 40 usagers</t>
  </si>
  <si>
    <t xml:space="preserve">Sous total - EVACUATION EXTERIEURE EU - EV  </t>
  </si>
  <si>
    <t>RESEAU D'ELECTRICITE</t>
  </si>
  <si>
    <t>Chambre de tirage 50x50</t>
  </si>
  <si>
    <t>Fourniture et pose de câble U1000 R02V Cu busé avec PVC 4x32mm² y compris tranchée, lit de sable et grillage avertisseurs</t>
  </si>
  <si>
    <t xml:space="preserve">TOTAL </t>
  </si>
  <si>
    <t>Amenagement d'espace vert y compris terre végétale engazonnement toutes suggestions</t>
  </si>
  <si>
    <t xml:space="preserve">Plantation d'arbres hauteur minimum 100 cm y compris toutes suggestions </t>
  </si>
  <si>
    <t>u</t>
  </si>
  <si>
    <t>Fourniture et pose de pavés autibloquants</t>
  </si>
  <si>
    <t>Fourniture et pose de bordure type T2</t>
  </si>
  <si>
    <t>TOTAL</t>
  </si>
  <si>
    <t>TOTAL GENERAL HTVA VRD</t>
  </si>
  <si>
    <t>TOTAL GENERAL HTVA BLOC OPERATOIRE CMA DE BOROMO</t>
  </si>
  <si>
    <t>Réalisation d'infrastructures SDSR et Santé au profit des districts sanitaires de Boromo et de Dédougou au Burkina Faso (LOT 1) 
Tranche ferme : maternité et  centre one stop</t>
  </si>
  <si>
    <t>MATERNITE ET CENTRE ONE STOP</t>
  </si>
  <si>
    <t>A</t>
  </si>
  <si>
    <t>BÂTIMENT MATERNITE ET CENTRE ONE STOP</t>
  </si>
  <si>
    <t>Maçonnerie en bloc latéritique taillé (BLT) de 20x15x15 cm pour mur remplissage</t>
  </si>
  <si>
    <t>Fourniture et pose de traverse en IPN 120 traité de l'antirouille</t>
  </si>
  <si>
    <r>
      <t xml:space="preserve">CAV-01 : </t>
    </r>
    <r>
      <rPr>
        <sz val="10"/>
        <rFont val="Tw Cen MT"/>
        <family val="2"/>
      </rPr>
      <t>Chassis aluminium vitré comprenant deux (02) vantaux identiques et coulissants</t>
    </r>
  </si>
  <si>
    <t>- 100x150 cm</t>
  </si>
  <si>
    <t>- 100x80 cm</t>
  </si>
  <si>
    <t>- 115x150 cm</t>
  </si>
  <si>
    <t>- 150x150 cm</t>
  </si>
  <si>
    <t>- 175x150 cm</t>
  </si>
  <si>
    <t>- 200x150 cm</t>
  </si>
  <si>
    <t>- 200x80 cm</t>
  </si>
  <si>
    <t>- 340x150 cm</t>
  </si>
  <si>
    <t>- 80x80 cm</t>
  </si>
  <si>
    <t>- 70x150 cm</t>
  </si>
  <si>
    <t>- 95x150 cm</t>
  </si>
  <si>
    <t>- 160x220 cm</t>
  </si>
  <si>
    <r>
      <rPr>
        <b/>
        <sz val="10"/>
        <rFont val="Tw Cen MT"/>
        <family val="2"/>
      </rPr>
      <t>PMV-01</t>
    </r>
    <r>
      <rPr>
        <sz val="10"/>
        <rFont val="Tw Cen MT"/>
        <family val="2"/>
      </rPr>
      <t>: Porte avec cadre metallique comprenant deux (02) battants vitrés identiques et pivotant</t>
    </r>
  </si>
  <si>
    <t>- 200x220 cm</t>
  </si>
  <si>
    <t>- 216x220 cm</t>
  </si>
  <si>
    <t>- 325x220 cm</t>
  </si>
  <si>
    <r>
      <rPr>
        <b/>
        <sz val="10"/>
        <rFont val="Tw Cen MT"/>
        <family val="2"/>
      </rPr>
      <t>PMP-02</t>
    </r>
    <r>
      <rPr>
        <sz val="10"/>
        <rFont val="Tw Cen MT"/>
        <family val="2"/>
      </rPr>
      <t xml:space="preserve"> : Porte avec cadre métallique comprenant deux (02) battants identiques pivotants en métallique double peau</t>
    </r>
  </si>
  <si>
    <t>- 130x230 cm</t>
  </si>
  <si>
    <t>- 150x230 cm</t>
  </si>
  <si>
    <t>Fourniture et pose d'un onduleur online de puissance minimale 20 kVA triphasé+neutre 230V/400V 50Hz avec une autonomie de 15 mn à puissance max y compris toute sujétion de pose</t>
  </si>
  <si>
    <t>Switch informatique manageable et rackable de 48 ports 1Gbs</t>
  </si>
  <si>
    <t>Panneau de brassage 48 ports cat 6A</t>
  </si>
  <si>
    <t>Bloc autonome d'éclairage d'ambiance</t>
  </si>
  <si>
    <t xml:space="preserve">Ouvrage de captage </t>
  </si>
  <si>
    <t>Implantation géophysique et réalisation de forage équipé à gros débit de 5m3/h minimun y compris analyse de l’eau et toute sujection</t>
  </si>
  <si>
    <t>ff</t>
  </si>
  <si>
    <t>NA</t>
  </si>
  <si>
    <t>Développement et Essai de pompage à longue durée</t>
  </si>
  <si>
    <t>Soufflage, Pompage et essai (par palier, longue durée)</t>
  </si>
  <si>
    <t>FF</t>
  </si>
  <si>
    <t>Construction et équipement de la tête de forage</t>
  </si>
  <si>
    <t>Station de pompage</t>
  </si>
  <si>
    <t>Fourniture et installation de pompe immergée solaire y compris accessoires de pose et de raccordement</t>
  </si>
  <si>
    <t>Fourniture et installation de champ solaires chacun y compris accessoires de pose et de raccordement</t>
  </si>
  <si>
    <t>RESEAU DE REFOULEMENT</t>
  </si>
  <si>
    <t>Fourniture et pose de la tuyauterie d'alimentation en PEHD, PN 16 ou équivalent y compris accessoires de pose et de raccordement (coude, té, manchon taraudé, réducteurs, …), ouverture et fermeture de tranche, grillage aveertisseur et toutes suggestions</t>
  </si>
  <si>
    <t xml:space="preserve">Sous total - Ouvrage de captage </t>
  </si>
  <si>
    <t>RESERVE EN EAU</t>
  </si>
  <si>
    <t>Fourniture et pose d'un château d'eau métallique de 15 m3 avec une Hauteur sous cuve de 10 m y compris les études géotechniques et toutes sujestions de pose te de raccordement</t>
  </si>
  <si>
    <t xml:space="preserve">Sous total - RESERVE EN EAU </t>
  </si>
  <si>
    <t>I.3</t>
  </si>
  <si>
    <t>RESEAU D'ARROSAGE (PM)</t>
  </si>
  <si>
    <t>Fourniture et pose de lyre galvanisé y compris de robinet d'arrosage DN26 , vanne d'arrêt, accessoires et toutes suggestions de pose</t>
  </si>
  <si>
    <t xml:space="preserve">Sous total - RESEAU D'ARROSAGE </t>
  </si>
  <si>
    <t>I.4</t>
  </si>
  <si>
    <t>I.5</t>
  </si>
  <si>
    <t xml:space="preserve">TOTAL GENERAL HTVA MATERNITE ET CENTRE ONE STOP </t>
  </si>
  <si>
    <t>Réalisation d'infrastructures SDSR et Santé au profit des districts sanitaires de Boromo et de Dédougou  au Burkina Faso
LOT 1_Tranche conditionnelle</t>
  </si>
  <si>
    <t>DEPÔT REPARTITEUR DE DISTRICT DE DEDOUGOU</t>
  </si>
  <si>
    <t>Nivellement manuel sans apport de terre</t>
  </si>
  <si>
    <t>Démolition et dépose</t>
  </si>
  <si>
    <t>Béton armé dosé à 350 kg/m3 de CPA 45 pour aire de dallage de 15 cm d'épaisseur y compris renfort sous dallage, y compris joint de retrait, joint de construction, arrêt de dallage, film polyane, etc.</t>
  </si>
  <si>
    <t>Béton armé pour escalier</t>
  </si>
  <si>
    <t xml:space="preserve">CHARPENTE - COUVERTURE - ETANCHEITE </t>
  </si>
  <si>
    <t>Fourniture et pose de revêtement sol epoxy sous faux-plancher salle serveur</t>
  </si>
  <si>
    <t>Traverse en IPN de 160 traité à l'antirouille</t>
  </si>
  <si>
    <t>Fourniture et pose de couverture en tôle bac prelaquée 45/100ème quatre ondulations y compris toutes sujétions de pose</t>
  </si>
  <si>
    <t>4.2.3</t>
  </si>
  <si>
    <t>Fourniture et pose de faitière en tôle bac cranté</t>
  </si>
  <si>
    <r>
      <rPr>
        <b/>
        <sz val="10"/>
        <rFont val="Tw Cen MT"/>
        <family val="2"/>
      </rPr>
      <t>VRM-01</t>
    </r>
    <r>
      <rPr>
        <sz val="10"/>
        <rFont val="Tw Cen MT"/>
        <family val="2"/>
      </rPr>
      <t xml:space="preserve">: Volet roulant metallique </t>
    </r>
  </si>
  <si>
    <t>- 300x220 cm</t>
  </si>
  <si>
    <r>
      <rPr>
        <b/>
        <sz val="10"/>
        <rFont val="Tw Cen MT"/>
        <family val="2"/>
      </rPr>
      <t>CMP-01</t>
    </r>
    <r>
      <rPr>
        <sz val="10"/>
        <rFont val="Tw Cen MT"/>
        <family val="2"/>
      </rPr>
      <t xml:space="preserve"> : Chassis metallique comprenant deux (02) vantaux identiques persiennés </t>
    </r>
  </si>
  <si>
    <t>- 150x60 cm</t>
  </si>
  <si>
    <t>ALIMENTATION ET EVACUATION DES EAUX (PM)</t>
  </si>
  <si>
    <t>APPAREILS SANITAIRES (PM)</t>
  </si>
  <si>
    <t>Raccordement au réseau existant</t>
  </si>
  <si>
    <t>Fourniture et pose d'un ensemble de fourreautage et filerie encastré et sous goulottes Legrand, y compris boîtes de dérivation, boîtes d'encastrement, les amenées d'énergie au droit des interrupteurs, d'appareils d'éclairage, de prises de courant, de climatisation,  ventilation, autocommutateur, centrale de détection incendie, onduleur, contrôle d'accès, enseigne lumineuse et totem  y compris toute sujétion pour la réalisation complète des installations électriques RDC et R+1</t>
  </si>
  <si>
    <t>Fourniture et pose d'extincteur à CO2 de 10kg</t>
  </si>
  <si>
    <t>TOTAL RDC</t>
  </si>
  <si>
    <t>R+1</t>
  </si>
  <si>
    <t>Béton armé pour  chainages et lintaux dosé à 350 kg/m3 de CPA 45 y compris coffrage, armatures et toutes sujétions</t>
  </si>
  <si>
    <t>Béton armé pour chainage rampant dosé à 350 kg/m3 de CPA 45 y compris coffrage, armatures et toutes sujétions</t>
  </si>
  <si>
    <t>Mur en voile dosé à 350 kg/m3 de CPA 45 y compris coffrage, armatures et toutes sujétions pour brise soleil</t>
  </si>
  <si>
    <t>Maçonnerie d'agglos creux de 20x20x40 cm confectionné mécaniquement</t>
  </si>
  <si>
    <t>Ferme métallique en cornière lourde de 50x50</t>
  </si>
  <si>
    <r>
      <rPr>
        <b/>
        <sz val="10"/>
        <rFont val="Tw Cen MT"/>
        <family val="2"/>
      </rPr>
      <t>PMP-01</t>
    </r>
    <r>
      <rPr>
        <sz val="10"/>
        <rFont val="Tw Cen MT"/>
        <family val="2"/>
      </rPr>
      <t xml:space="preserve"> : Porte avec cadre  métallique comprenant  un battantt (01) pivotant en métallique double peau </t>
    </r>
  </si>
  <si>
    <r>
      <t xml:space="preserve">RB: </t>
    </r>
    <r>
      <rPr>
        <sz val="10"/>
        <rFont val="Tw Cen MT"/>
        <family val="2"/>
      </rPr>
      <t>Revetement briquette</t>
    </r>
  </si>
  <si>
    <t>Amenée d'énergie (PM)</t>
  </si>
  <si>
    <t>Courant faible (PM)</t>
  </si>
  <si>
    <t>TOTAL R+1</t>
  </si>
  <si>
    <t>TOTAL GENERAL HTVA DRD DE DEDOUGOU</t>
  </si>
  <si>
    <t>Réalisation d'infrastructures SDSR et Santé au profit des districts sanitaires de Boromo et de Dédougou  au Burkina Faso Dédougou, dans la région de la Boucle du Mouhoun au Burkina Faso
LOT 1</t>
  </si>
  <si>
    <t>RECAPITULATIF GENERAL</t>
  </si>
  <si>
    <t>DESIGNATION</t>
  </si>
  <si>
    <t>NOMBRE</t>
  </si>
  <si>
    <t>P.U HTVA (F CFA)</t>
  </si>
  <si>
    <t>P.TOTAL HTVA (F CFA)</t>
  </si>
  <si>
    <t>Tranche ferme du lot1</t>
  </si>
  <si>
    <t>TOTAL GENERAL HTVA DE LA TRANCHE FERME</t>
  </si>
  <si>
    <t>Tranche conditionnelle du lot1</t>
  </si>
  <si>
    <t>DRD DE DEDOUGOU</t>
  </si>
  <si>
    <t>TOTAL GENERAL HTVA DE LA TRANCHE CONDITIONNELLE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</si>
</sst>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_-;\-* #,##0_-;_-* &quot;-&quot;_-;_-@_-"/>
    <numFmt numFmtId="165" formatCode="_-* #,##0.00_-;\-* #,##0.00_-;_-* &quot;-&quot;??_-;_-@_-"/>
    <numFmt numFmtId="166" formatCode="#,##0.00;[Red]#,##0.00"/>
    <numFmt numFmtId="167" formatCode="#,##0\ _€;[Red]#,##0\ _€"/>
    <numFmt numFmtId="168" formatCode="_ * #,##0.00_)\ _$_ ;_ * \(#,##0.00\)\ _$_ ;_ * &quot;-&quot;??_)\ _$_ ;_ @_ "/>
    <numFmt numFmtId="169" formatCode="#,##0;[Red]#,##0"/>
    <numFmt numFmtId="170" formatCode="_-* #,##0.00\ _F_-;\-* #,##0.00\ _F_-;_-* &quot;-&quot;??\ _F_-;_-@_-"/>
    <numFmt numFmtId="171" formatCode="_-* #,##0\ _F_-;\-* #,##0\ _F_-;_-* &quot;-&quot;??\ _F_-;_-@_-"/>
    <numFmt numFmtId="172" formatCode="_-* #,##0\ _€_-;\-* #,##0\ _€_-;_-* &quot;-&quot;??\ _€_-;_-@_-"/>
    <numFmt numFmtId="173" formatCode="#,##0.0"/>
    <numFmt numFmtId="174" formatCode="_ * #,##0_)\ _$_ ;_ * \(#,##0\)\ _$_ ;_ * &quot;-&quot;??_)\ _$_ ;_ @_ "/>
    <numFmt numFmtId="175" formatCode="_-* #,##0.00\ _€_-;\-* #,##0.00\ _€_-;_-* &quot;-&quot;??\ _€_-;_-@_-"/>
    <numFmt numFmtId="176" formatCode="#,##0\ _C_F_A"/>
    <numFmt numFmtId="177" formatCode="#,##0.0\ _C_F_A"/>
    <numFmt numFmtId="178" formatCode="0.0"/>
  </numFmts>
  <fonts count="40">
    <font>
      <sz val="11"/>
      <color theme="1"/>
      <name val="Aptos Narrow"/>
      <family val="2"/>
      <scheme val="minor"/>
    </font>
    <font>
      <b/>
      <sz val="16"/>
      <name val="Tw Cen MT"/>
      <family val="2"/>
    </font>
    <font>
      <b/>
      <sz val="14"/>
      <name val="Tw Cen MT"/>
      <family val="2"/>
    </font>
    <font>
      <b/>
      <sz val="14"/>
      <color theme="1"/>
      <name val="Tw Cen MT"/>
      <family val="2"/>
    </font>
    <font>
      <b/>
      <sz val="12"/>
      <color theme="1"/>
      <name val="Tw Cen MT"/>
      <family val="2"/>
    </font>
    <font>
      <sz val="10"/>
      <name val="Arial"/>
      <family val="2"/>
    </font>
    <font>
      <b/>
      <sz val="10"/>
      <color theme="1"/>
      <name val="Tw Cen MT"/>
      <family val="2"/>
    </font>
    <font>
      <sz val="11"/>
      <color indexed="8"/>
      <name val="Calibri"/>
      <family val="2"/>
    </font>
    <font>
      <sz val="12"/>
      <color theme="1"/>
      <name val="Tw Cen MT"/>
      <family val="2"/>
    </font>
    <font>
      <b/>
      <sz val="10"/>
      <color rgb="FFFF0000"/>
      <name val="Tw Cen MT"/>
      <family val="2"/>
    </font>
    <font>
      <sz val="10"/>
      <color rgb="FFFF0000"/>
      <name val="Tw Cen MT"/>
      <family val="2"/>
    </font>
    <font>
      <sz val="10"/>
      <color theme="1"/>
      <name val="Tw Cen MT"/>
      <family val="2"/>
    </font>
    <font>
      <sz val="9"/>
      <name val="Tw Cen MT"/>
      <family val="2"/>
    </font>
    <font>
      <sz val="10"/>
      <name val="Tw Cen MT"/>
      <family val="2"/>
    </font>
    <font>
      <vertAlign val="superscript"/>
      <sz val="10"/>
      <name val="Tw Cen MT"/>
      <family val="2"/>
    </font>
    <font>
      <b/>
      <sz val="10"/>
      <name val="Tw Cen MT"/>
      <family val="2"/>
    </font>
    <font>
      <sz val="12"/>
      <name val="Tw Cen MT"/>
      <family val="2"/>
    </font>
    <font>
      <i/>
      <sz val="10"/>
      <name val="Tw Cen MT"/>
      <family val="2"/>
    </font>
    <font>
      <sz val="11"/>
      <color theme="1"/>
      <name val="Aptos Narrow"/>
      <family val="2"/>
      <scheme val="minor"/>
    </font>
    <font>
      <sz val="8"/>
      <name val="Aptos Narrow"/>
      <family val="2"/>
      <scheme val="minor"/>
    </font>
    <font>
      <sz val="12"/>
      <name val="Arial Narrow"/>
      <family val="2"/>
    </font>
    <font>
      <i/>
      <sz val="12"/>
      <name val="Arial Narrow"/>
      <family val="2"/>
    </font>
    <font>
      <sz val="11"/>
      <name val="Aptos Narrow"/>
      <family val="2"/>
      <scheme val="minor"/>
    </font>
    <font>
      <b/>
      <i/>
      <sz val="10"/>
      <name val="Tw Cen MT"/>
      <family val="2"/>
    </font>
    <font>
      <b/>
      <sz val="11"/>
      <color rgb="FFFF0000"/>
      <name val="Aptos Narrow"/>
      <family val="2"/>
      <scheme val="minor"/>
    </font>
    <font>
      <b/>
      <sz val="11"/>
      <name val="Aptos Narrow"/>
      <family val="2"/>
      <scheme val="minor"/>
    </font>
    <font>
      <b/>
      <sz val="12"/>
      <name val="Tw Cen MT"/>
      <family val="2"/>
    </font>
    <font>
      <b/>
      <sz val="12"/>
      <name val="Arial Narrow"/>
      <family val="2"/>
    </font>
    <font>
      <b/>
      <i/>
      <sz val="12"/>
      <name val="Arial Narrow"/>
      <family val="2"/>
    </font>
    <font>
      <b/>
      <sz val="11"/>
      <color theme="1"/>
      <name val="Aptos Narrow"/>
      <family val="2"/>
      <scheme val="minor"/>
    </font>
    <font>
      <sz val="11"/>
      <name val="Tw Cen MT"/>
      <family val="2"/>
    </font>
    <font>
      <b/>
      <sz val="20"/>
      <name val="Tw Cen MT"/>
      <family val="2"/>
    </font>
    <font>
      <sz val="10"/>
      <color rgb="FF000000"/>
      <name val="Tw Cen MT"/>
      <family val="2"/>
    </font>
    <font>
      <b/>
      <i/>
      <sz val="10"/>
      <color theme="1"/>
      <name val="Tw Cen MT"/>
      <family val="2"/>
    </font>
    <font>
      <sz val="9"/>
      <name val="Helvetica"/>
      <family val="2"/>
    </font>
    <font>
      <b/>
      <u/>
      <sz val="10"/>
      <name val="Tw Cen MT"/>
      <family val="2"/>
    </font>
    <font>
      <b/>
      <u/>
      <sz val="10"/>
      <color rgb="FFFF0000"/>
      <name val="Tw Cen MT"/>
      <family val="2"/>
    </font>
    <font>
      <b/>
      <u/>
      <sz val="10"/>
      <color theme="9" tint="-0.499984740745262"/>
      <name val="Tw Cen MT"/>
      <family val="2"/>
    </font>
    <font>
      <u/>
      <sz val="10"/>
      <color rgb="FFFF0000"/>
      <name val="Tw Cen MT"/>
      <family val="2"/>
    </font>
    <font>
      <sz val="11"/>
      <color rgb="FFFF0000"/>
      <name val="Aptos Narrow"/>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s>
  <cellStyleXfs count="16">
    <xf numFmtId="0" fontId="0" fillId="0" borderId="0"/>
    <xf numFmtId="0" fontId="5" fillId="0" borderId="0"/>
    <xf numFmtId="0" fontId="5" fillId="0" borderId="0"/>
    <xf numFmtId="168" fontId="7" fillId="0" borderId="0" applyFont="0" applyFill="0" applyBorder="0" applyAlignment="0" applyProtection="0"/>
    <xf numFmtId="0" fontId="5" fillId="0" borderId="0" applyFont="0" applyFill="0" applyBorder="0" applyAlignment="0" applyProtection="0"/>
    <xf numFmtId="0" fontId="7" fillId="0" borderId="0"/>
    <xf numFmtId="0" fontId="5" fillId="0" borderId="0"/>
    <xf numFmtId="0" fontId="7" fillId="0" borderId="0"/>
    <xf numFmtId="0" fontId="5" fillId="0" borderId="0"/>
    <xf numFmtId="175" fontId="18" fillId="0" borderId="0" applyFont="0" applyFill="0" applyBorder="0" applyAlignment="0" applyProtection="0"/>
    <xf numFmtId="175" fontId="7"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0" fontId="34" fillId="0" borderId="11" applyNumberFormat="0" applyFill="0" applyBorder="0" applyAlignment="0">
      <protection locked="0"/>
    </xf>
  </cellStyleXfs>
  <cellXfs count="361">
    <xf numFmtId="0" fontId="0" fillId="0" borderId="0" xfId="0"/>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right" vertical="center" wrapText="1"/>
    </xf>
    <xf numFmtId="3" fontId="6" fillId="0" borderId="1" xfId="1" applyNumberFormat="1" applyFont="1" applyBorder="1" applyAlignment="1">
      <alignment horizontal="center" vertical="center" wrapText="1"/>
    </xf>
    <xf numFmtId="4" fontId="6" fillId="0" borderId="1" xfId="1" applyNumberFormat="1" applyFont="1" applyBorder="1" applyAlignment="1">
      <alignment horizontal="center" vertical="center" wrapText="1"/>
    </xf>
    <xf numFmtId="2" fontId="6" fillId="0" borderId="1" xfId="1" applyNumberFormat="1" applyFont="1" applyBorder="1" applyAlignment="1">
      <alignment horizontal="center" vertical="center" wrapText="1"/>
    </xf>
    <xf numFmtId="3" fontId="6" fillId="0" borderId="1" xfId="1" applyNumberFormat="1" applyFont="1" applyBorder="1" applyAlignment="1">
      <alignment horizontal="right" vertical="center" wrapText="1"/>
    </xf>
    <xf numFmtId="0" fontId="6" fillId="0" borderId="2" xfId="0" applyFont="1" applyBorder="1" applyAlignment="1">
      <alignment horizontal="center" vertical="center" wrapText="1"/>
    </xf>
    <xf numFmtId="3" fontId="6" fillId="0" borderId="2" xfId="2" applyNumberFormat="1" applyFont="1" applyBorder="1" applyAlignment="1">
      <alignment horizontal="right" vertical="center" wrapText="1"/>
    </xf>
    <xf numFmtId="166" fontId="6" fillId="0" borderId="2" xfId="0" applyNumberFormat="1" applyFont="1" applyBorder="1" applyAlignment="1">
      <alignment horizontal="center" vertical="center" wrapText="1"/>
    </xf>
    <xf numFmtId="167" fontId="6" fillId="0" borderId="2" xfId="0" applyNumberFormat="1" applyFont="1" applyBorder="1" applyAlignment="1">
      <alignment horizontal="right" vertical="center" wrapText="1"/>
    </xf>
    <xf numFmtId="169" fontId="6" fillId="0" borderId="2" xfId="3" applyNumberFormat="1" applyFont="1" applyFill="1" applyBorder="1" applyAlignment="1">
      <alignment horizontal="right" vertical="center" wrapText="1"/>
    </xf>
    <xf numFmtId="0" fontId="15" fillId="0" borderId="1" xfId="2" applyFont="1" applyBorder="1" applyAlignment="1">
      <alignment horizontal="center" vertical="center" wrapText="1"/>
    </xf>
    <xf numFmtId="168" fontId="15" fillId="0" borderId="1" xfId="3" applyFont="1" applyFill="1" applyBorder="1" applyAlignment="1">
      <alignment horizontal="center" vertical="center"/>
    </xf>
    <xf numFmtId="0" fontId="13" fillId="0" borderId="1" xfId="2" applyFont="1" applyBorder="1" applyAlignment="1">
      <alignment horizontal="center" vertical="center" wrapText="1"/>
    </xf>
    <xf numFmtId="4" fontId="13" fillId="0" borderId="1" xfId="3" applyNumberFormat="1" applyFont="1" applyFill="1" applyBorder="1" applyAlignment="1">
      <alignment horizontal="center" vertical="center" wrapText="1"/>
    </xf>
    <xf numFmtId="171" fontId="11" fillId="0" borderId="1" xfId="4" applyNumberFormat="1" applyFont="1" applyFill="1" applyBorder="1" applyAlignment="1">
      <alignment horizontal="right" vertical="center" wrapText="1"/>
    </xf>
    <xf numFmtId="3" fontId="6" fillId="0" borderId="1" xfId="2" applyNumberFormat="1" applyFont="1" applyBorder="1" applyAlignment="1">
      <alignment horizontal="right" vertical="center" wrapText="1"/>
    </xf>
    <xf numFmtId="168" fontId="13" fillId="0" borderId="1" xfId="3" applyFont="1" applyFill="1" applyBorder="1" applyAlignment="1">
      <alignment horizontal="center" vertical="center"/>
    </xf>
    <xf numFmtId="3" fontId="13" fillId="0" borderId="2" xfId="2" applyNumberFormat="1" applyFont="1" applyBorder="1" applyAlignment="1">
      <alignment horizontal="right" vertical="center" wrapText="1"/>
    </xf>
    <xf numFmtId="3" fontId="15" fillId="0" borderId="2" xfId="2" applyNumberFormat="1" applyFont="1" applyBorder="1" applyAlignment="1">
      <alignment horizontal="right" vertical="center" wrapText="1"/>
    </xf>
    <xf numFmtId="3" fontId="15" fillId="0" borderId="2" xfId="0" applyNumberFormat="1" applyFont="1" applyBorder="1" applyAlignment="1">
      <alignment horizontal="right" vertical="center" wrapText="1"/>
    </xf>
    <xf numFmtId="0" fontId="13" fillId="0" borderId="2" xfId="0" applyFont="1" applyBorder="1" applyAlignment="1">
      <alignment horizontal="center" vertical="center"/>
    </xf>
    <xf numFmtId="0" fontId="13" fillId="0" borderId="2" xfId="0" applyFont="1" applyBorder="1" applyAlignment="1">
      <alignment horizontal="center"/>
    </xf>
    <xf numFmtId="2" fontId="13" fillId="0" borderId="2" xfId="0" applyNumberFormat="1" applyFont="1" applyBorder="1" applyAlignment="1">
      <alignment horizontal="center"/>
    </xf>
    <xf numFmtId="0" fontId="4" fillId="2" borderId="1" xfId="0"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167" fontId="4" fillId="2" borderId="1" xfId="0" applyNumberFormat="1" applyFont="1" applyFill="1" applyBorder="1" applyAlignment="1">
      <alignment horizontal="right" vertical="center" wrapText="1"/>
    </xf>
    <xf numFmtId="3" fontId="8" fillId="0" borderId="1" xfId="2" applyNumberFormat="1" applyFont="1" applyBorder="1" applyAlignment="1">
      <alignment horizontal="center" vertical="center" wrapText="1"/>
    </xf>
    <xf numFmtId="3" fontId="4" fillId="0" borderId="1" xfId="2" applyNumberFormat="1" applyFont="1" applyBorder="1" applyAlignment="1">
      <alignment vertical="center" wrapText="1"/>
    </xf>
    <xf numFmtId="2" fontId="8" fillId="0" borderId="1" xfId="3" applyNumberFormat="1" applyFont="1" applyFill="1" applyBorder="1" applyAlignment="1">
      <alignment horizontal="center" vertical="center" wrapText="1"/>
    </xf>
    <xf numFmtId="3" fontId="8" fillId="0" borderId="1" xfId="2" applyNumberFormat="1" applyFont="1" applyBorder="1" applyAlignment="1">
      <alignment horizontal="right" vertical="center" wrapText="1"/>
    </xf>
    <xf numFmtId="169" fontId="8" fillId="0" borderId="1" xfId="2" applyNumberFormat="1" applyFont="1" applyBorder="1" applyAlignment="1">
      <alignment horizontal="righ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1" fillId="0" borderId="1" xfId="2" applyFont="1" applyBorder="1" applyAlignment="1">
      <alignment horizontal="center" vertical="center" wrapText="1"/>
    </xf>
    <xf numFmtId="166" fontId="12" fillId="0" borderId="1" xfId="0" applyNumberFormat="1" applyFont="1" applyBorder="1" applyAlignment="1">
      <alignment horizontal="center" vertical="center" wrapText="1"/>
    </xf>
    <xf numFmtId="0" fontId="13" fillId="0" borderId="1" xfId="0" applyFont="1" applyBorder="1" applyAlignment="1">
      <alignment vertical="center" wrapText="1"/>
    </xf>
    <xf numFmtId="169" fontId="11" fillId="0" borderId="1" xfId="4" applyNumberFormat="1" applyFont="1" applyFill="1" applyBorder="1" applyAlignment="1">
      <alignment horizontal="right" vertical="center" wrapText="1"/>
    </xf>
    <xf numFmtId="169" fontId="6" fillId="0" borderId="1" xfId="4" applyNumberFormat="1" applyFont="1" applyFill="1" applyBorder="1" applyAlignment="1">
      <alignment horizontal="right" vertical="center" wrapText="1"/>
    </xf>
    <xf numFmtId="0" fontId="13" fillId="0" borderId="1" xfId="0" applyFont="1" applyBorder="1" applyAlignment="1">
      <alignment horizontal="center" vertical="center" wrapText="1"/>
    </xf>
    <xf numFmtId="0" fontId="11" fillId="0" borderId="1" xfId="0" applyFont="1" applyBorder="1" applyAlignment="1">
      <alignment horizontal="center" vertical="top" wrapText="1"/>
    </xf>
    <xf numFmtId="0" fontId="6" fillId="0" borderId="1" xfId="2" applyFont="1" applyBorder="1" applyAlignment="1">
      <alignment horizontal="center" vertical="center" wrapText="1"/>
    </xf>
    <xf numFmtId="171" fontId="6" fillId="0" borderId="1" xfId="4" applyNumberFormat="1" applyFont="1" applyFill="1" applyBorder="1" applyAlignment="1">
      <alignment horizontal="right" vertical="center" wrapText="1"/>
    </xf>
    <xf numFmtId="2" fontId="11" fillId="0" borderId="1" xfId="2" applyNumberFormat="1" applyFont="1" applyBorder="1" applyAlignment="1">
      <alignment horizontal="center" vertical="center" wrapText="1"/>
    </xf>
    <xf numFmtId="2" fontId="6" fillId="0" borderId="1" xfId="3" applyNumberFormat="1" applyFont="1" applyFill="1" applyBorder="1" applyAlignment="1">
      <alignment horizontal="center" vertical="center" wrapText="1"/>
    </xf>
    <xf numFmtId="0" fontId="13" fillId="0" borderId="1" xfId="2" applyFont="1" applyBorder="1" applyAlignment="1">
      <alignment horizontal="left" vertical="center" wrapText="1"/>
    </xf>
    <xf numFmtId="3" fontId="13" fillId="3" borderId="1" xfId="0" applyNumberFormat="1" applyFont="1" applyFill="1" applyBorder="1" applyAlignment="1">
      <alignment horizontal="right" vertical="center"/>
    </xf>
    <xf numFmtId="4" fontId="13" fillId="0" borderId="1" xfId="0" applyNumberFormat="1" applyFont="1" applyBorder="1" applyAlignment="1">
      <alignment horizontal="center" vertical="center"/>
    </xf>
    <xf numFmtId="2" fontId="6" fillId="0" borderId="1" xfId="3" applyNumberFormat="1" applyFont="1" applyFill="1" applyBorder="1" applyAlignment="1">
      <alignment vertical="center" wrapText="1"/>
    </xf>
    <xf numFmtId="0" fontId="13" fillId="0" borderId="1" xfId="5" applyFont="1" applyBorder="1" applyAlignment="1">
      <alignment horizontal="center" vertical="center" wrapText="1"/>
    </xf>
    <xf numFmtId="2" fontId="13" fillId="0" borderId="1" xfId="3" applyNumberFormat="1" applyFont="1" applyFill="1" applyBorder="1" applyAlignment="1">
      <alignment horizontal="center" vertical="center" wrapText="1"/>
    </xf>
    <xf numFmtId="3" fontId="13" fillId="0" borderId="1" xfId="0" applyNumberFormat="1" applyFont="1" applyBorder="1" applyAlignment="1">
      <alignment horizontal="right" vertical="center" wrapText="1"/>
    </xf>
    <xf numFmtId="2" fontId="6" fillId="0" borderId="1" xfId="2" applyNumberFormat="1" applyFont="1" applyBorder="1" applyAlignment="1">
      <alignment horizontal="center" vertical="center" wrapText="1"/>
    </xf>
    <xf numFmtId="4" fontId="15" fillId="0" borderId="1" xfId="6" applyNumberFormat="1" applyFont="1" applyBorder="1" applyAlignment="1">
      <alignment vertical="center" wrapText="1"/>
    </xf>
    <xf numFmtId="3" fontId="13" fillId="0" borderId="1" xfId="2" applyNumberFormat="1" applyFont="1" applyBorder="1" applyAlignment="1">
      <alignment horizontal="center" vertical="center" wrapText="1"/>
    </xf>
    <xf numFmtId="3" fontId="13" fillId="0" borderId="1" xfId="2" applyNumberFormat="1" applyFont="1" applyBorder="1" applyAlignment="1">
      <alignment horizontal="right" vertical="center" wrapText="1"/>
    </xf>
    <xf numFmtId="169" fontId="13" fillId="0" borderId="1" xfId="2" applyNumberFormat="1" applyFont="1" applyBorder="1" applyAlignment="1">
      <alignment horizontal="right" vertical="center" wrapText="1"/>
    </xf>
    <xf numFmtId="0" fontId="15" fillId="0" borderId="1" xfId="0" applyFont="1" applyBorder="1" applyAlignment="1">
      <alignment vertical="center" wrapText="1"/>
    </xf>
    <xf numFmtId="0" fontId="17" fillId="0" borderId="1" xfId="0" quotePrefix="1" applyFont="1" applyBorder="1" applyAlignment="1">
      <alignment vertical="center" wrapText="1"/>
    </xf>
    <xf numFmtId="3" fontId="15" fillId="0" borderId="1" xfId="2" applyNumberFormat="1" applyFont="1" applyBorder="1" applyAlignment="1">
      <alignment horizontal="right" vertical="center" wrapText="1"/>
    </xf>
    <xf numFmtId="168" fontId="15" fillId="0" borderId="1" xfId="3" applyFont="1" applyFill="1" applyBorder="1" applyAlignment="1">
      <alignment horizontal="center" vertical="center" wrapText="1"/>
    </xf>
    <xf numFmtId="174" fontId="15" fillId="0" borderId="1" xfId="3" applyNumberFormat="1" applyFont="1" applyFill="1" applyBorder="1" applyAlignment="1">
      <alignment horizontal="right" vertical="center" wrapText="1"/>
    </xf>
    <xf numFmtId="169" fontId="15" fillId="0" borderId="1" xfId="2" applyNumberFormat="1" applyFont="1" applyBorder="1" applyAlignment="1">
      <alignment horizontal="right" vertical="center" wrapText="1"/>
    </xf>
    <xf numFmtId="169" fontId="15" fillId="0" borderId="1" xfId="4" applyNumberFormat="1" applyFont="1" applyFill="1" applyBorder="1" applyAlignment="1">
      <alignment horizontal="right" vertical="center" wrapText="1"/>
    </xf>
    <xf numFmtId="0" fontId="15" fillId="0" borderId="1" xfId="7" applyFont="1" applyBorder="1" applyAlignment="1">
      <alignment vertical="center" wrapText="1"/>
    </xf>
    <xf numFmtId="4" fontId="13" fillId="0" borderId="1" xfId="2" applyNumberFormat="1" applyFont="1" applyBorder="1" applyAlignment="1">
      <alignment horizontal="center" vertical="center" wrapText="1"/>
    </xf>
    <xf numFmtId="3" fontId="15" fillId="0" borderId="1" xfId="2" applyNumberFormat="1" applyFont="1" applyBorder="1" applyAlignment="1">
      <alignment horizontal="center" vertical="center" wrapText="1"/>
    </xf>
    <xf numFmtId="0" fontId="13" fillId="0" borderId="1" xfId="2" applyFont="1" applyBorder="1" applyAlignment="1">
      <alignment horizontal="right" vertical="center" wrapText="1"/>
    </xf>
    <xf numFmtId="0" fontId="13" fillId="0" borderId="1" xfId="7" applyFont="1" applyBorder="1" applyAlignment="1">
      <alignment vertical="center" wrapText="1"/>
    </xf>
    <xf numFmtId="3" fontId="13" fillId="0" borderId="1" xfId="0" applyNumberFormat="1" applyFont="1" applyBorder="1" applyAlignment="1">
      <alignment horizontal="center" vertical="center" wrapText="1"/>
    </xf>
    <xf numFmtId="2" fontId="13" fillId="0" borderId="1" xfId="0" applyNumberFormat="1" applyFont="1" applyBorder="1" applyAlignment="1">
      <alignment horizontal="center" vertical="center" wrapText="1"/>
    </xf>
    <xf numFmtId="173" fontId="13" fillId="0" borderId="1" xfId="2" applyNumberFormat="1" applyFont="1" applyBorder="1" applyAlignment="1">
      <alignment horizontal="center" vertical="center" wrapText="1"/>
    </xf>
    <xf numFmtId="3" fontId="13" fillId="0" borderId="1" xfId="2" applyNumberFormat="1" applyFont="1" applyBorder="1" applyAlignment="1">
      <alignment vertical="center" wrapText="1"/>
    </xf>
    <xf numFmtId="3" fontId="13" fillId="0" borderId="1" xfId="8" applyNumberFormat="1" applyFont="1" applyBorder="1" applyAlignment="1">
      <alignment horizontal="right" vertical="center" wrapText="1"/>
    </xf>
    <xf numFmtId="3" fontId="15" fillId="0" borderId="1" xfId="0" applyNumberFormat="1" applyFont="1" applyBorder="1" applyAlignment="1">
      <alignment horizontal="right" vertical="center" wrapText="1"/>
    </xf>
    <xf numFmtId="0" fontId="6" fillId="0" borderId="1" xfId="0" applyFont="1" applyBorder="1" applyAlignment="1">
      <alignment horizontal="center" vertical="center"/>
    </xf>
    <xf numFmtId="0" fontId="11" fillId="0" borderId="1" xfId="0" applyFont="1" applyBorder="1" applyAlignment="1">
      <alignment horizontal="center"/>
    </xf>
    <xf numFmtId="2" fontId="11" fillId="0" borderId="1" xfId="0" applyNumberFormat="1" applyFont="1" applyBorder="1" applyAlignment="1">
      <alignment horizontal="center"/>
    </xf>
    <xf numFmtId="171" fontId="11" fillId="0" borderId="1" xfId="3" applyNumberFormat="1" applyFont="1" applyFill="1" applyBorder="1" applyAlignment="1">
      <alignment horizontal="right"/>
    </xf>
    <xf numFmtId="0" fontId="13" fillId="0" borderId="1" xfId="0" applyFont="1" applyBorder="1" applyAlignment="1">
      <alignment horizontal="center" vertical="center"/>
    </xf>
    <xf numFmtId="0" fontId="13" fillId="0" borderId="1" xfId="0" applyFont="1" applyBorder="1" applyAlignment="1">
      <alignment wrapText="1"/>
    </xf>
    <xf numFmtId="2" fontId="13" fillId="0" borderId="1" xfId="0" applyNumberFormat="1" applyFont="1" applyBorder="1" applyAlignment="1">
      <alignment horizontal="center" vertical="center"/>
    </xf>
    <xf numFmtId="0" fontId="13" fillId="0" borderId="1" xfId="0" applyFont="1" applyBorder="1" applyAlignment="1">
      <alignment horizontal="center"/>
    </xf>
    <xf numFmtId="2" fontId="13" fillId="0" borderId="1" xfId="0" applyNumberFormat="1" applyFont="1" applyBorder="1" applyAlignment="1">
      <alignment horizontal="center"/>
    </xf>
    <xf numFmtId="0" fontId="15" fillId="0" borderId="1" xfId="0" applyFont="1" applyBorder="1" applyAlignment="1">
      <alignment horizontal="center" vertical="center"/>
    </xf>
    <xf numFmtId="171" fontId="13" fillId="0" borderId="1" xfId="3" applyNumberFormat="1" applyFont="1" applyFill="1" applyBorder="1" applyAlignment="1">
      <alignment horizontal="right"/>
    </xf>
    <xf numFmtId="0" fontId="15" fillId="0" borderId="1" xfId="0" applyFont="1" applyBorder="1"/>
    <xf numFmtId="0" fontId="15" fillId="0" borderId="1" xfId="0" applyFont="1" applyBorder="1" applyAlignment="1">
      <alignment horizontal="right"/>
    </xf>
    <xf numFmtId="0" fontId="15" fillId="0" borderId="1" xfId="0" applyFont="1" applyBorder="1" applyAlignment="1">
      <alignment horizontal="center"/>
    </xf>
    <xf numFmtId="2" fontId="15" fillId="0" borderId="1" xfId="0" applyNumberFormat="1" applyFont="1" applyBorder="1" applyAlignment="1">
      <alignment horizontal="center"/>
    </xf>
    <xf numFmtId="171" fontId="15" fillId="0" borderId="1" xfId="3" applyNumberFormat="1" applyFont="1" applyFill="1" applyBorder="1" applyAlignment="1">
      <alignment horizontal="right"/>
    </xf>
    <xf numFmtId="2" fontId="10" fillId="0" borderId="1" xfId="3" applyNumberFormat="1" applyFont="1" applyFill="1" applyBorder="1" applyAlignment="1">
      <alignment horizontal="center" vertical="center" wrapText="1"/>
    </xf>
    <xf numFmtId="169" fontId="10" fillId="0" borderId="1" xfId="2" applyNumberFormat="1" applyFont="1" applyBorder="1" applyAlignment="1">
      <alignment horizontal="right" vertical="center" wrapText="1"/>
    </xf>
    <xf numFmtId="0" fontId="13" fillId="0" borderId="1" xfId="0" applyFont="1" applyBorder="1" applyAlignment="1">
      <alignment vertical="center"/>
    </xf>
    <xf numFmtId="168" fontId="13" fillId="0" borderId="1" xfId="3" applyFont="1" applyFill="1" applyBorder="1" applyAlignment="1">
      <alignment vertical="center"/>
    </xf>
    <xf numFmtId="0" fontId="6" fillId="0" borderId="1" xfId="2" applyFont="1" applyBorder="1" applyAlignment="1">
      <alignment vertical="center" wrapText="1"/>
    </xf>
    <xf numFmtId="3" fontId="15" fillId="0" borderId="1" xfId="2" applyNumberFormat="1" applyFont="1" applyBorder="1" applyAlignment="1">
      <alignment vertical="center" wrapText="1"/>
    </xf>
    <xf numFmtId="3" fontId="15" fillId="0" borderId="1" xfId="2" applyNumberFormat="1" applyFont="1" applyBorder="1" applyAlignment="1">
      <alignment horizontal="left" vertical="center" wrapText="1"/>
    </xf>
    <xf numFmtId="0" fontId="6" fillId="0" borderId="1" xfId="0" applyFont="1" applyBorder="1"/>
    <xf numFmtId="3" fontId="6" fillId="2" borderId="1" xfId="2" applyNumberFormat="1" applyFont="1" applyFill="1" applyBorder="1" applyAlignment="1">
      <alignment horizontal="right" vertical="center" wrapText="1"/>
    </xf>
    <xf numFmtId="169" fontId="6" fillId="2" borderId="1" xfId="3" applyNumberFormat="1" applyFont="1" applyFill="1" applyBorder="1" applyAlignment="1">
      <alignment horizontal="right" vertical="center" wrapText="1"/>
    </xf>
    <xf numFmtId="0" fontId="15" fillId="0" borderId="1" xfId="0" applyFont="1" applyBorder="1" applyAlignment="1">
      <alignment horizontal="center" vertical="top" wrapText="1"/>
    </xf>
    <xf numFmtId="0" fontId="15" fillId="0" borderId="1" xfId="0" applyFont="1" applyBorder="1" applyAlignment="1">
      <alignment horizontal="center" vertical="center" wrapText="1"/>
    </xf>
    <xf numFmtId="170" fontId="15" fillId="0" borderId="1" xfId="3" applyNumberFormat="1" applyFont="1" applyBorder="1" applyAlignment="1">
      <alignment vertical="center" wrapText="1"/>
    </xf>
    <xf numFmtId="171" fontId="13" fillId="0" borderId="1" xfId="3" applyNumberFormat="1" applyFont="1" applyBorder="1" applyAlignment="1">
      <alignment horizontal="center" vertical="center" wrapText="1"/>
    </xf>
    <xf numFmtId="3" fontId="15" fillId="0" borderId="1" xfId="0" applyNumberFormat="1" applyFont="1" applyBorder="1" applyAlignment="1">
      <alignment horizontal="right" vertical="center"/>
    </xf>
    <xf numFmtId="166" fontId="13" fillId="0" borderId="1" xfId="0" applyNumberFormat="1" applyFont="1" applyBorder="1" applyAlignment="1">
      <alignment horizontal="center" vertical="center" wrapText="1"/>
    </xf>
    <xf numFmtId="3" fontId="13" fillId="0" borderId="1" xfId="0" applyNumberFormat="1" applyFont="1" applyBorder="1" applyAlignment="1">
      <alignment vertical="center" wrapText="1"/>
    </xf>
    <xf numFmtId="166" fontId="13" fillId="0" borderId="1" xfId="0" applyNumberFormat="1" applyFont="1" applyBorder="1" applyAlignment="1">
      <alignment horizontal="center" vertical="center"/>
    </xf>
    <xf numFmtId="3" fontId="11" fillId="0" borderId="1" xfId="2" applyNumberFormat="1" applyFont="1" applyBorder="1" applyAlignment="1">
      <alignment horizontal="center" vertical="center" wrapText="1"/>
    </xf>
    <xf numFmtId="2" fontId="11" fillId="0" borderId="1" xfId="3" applyNumberFormat="1" applyFont="1" applyFill="1" applyBorder="1" applyAlignment="1">
      <alignment horizontal="center" vertical="center" wrapText="1"/>
    </xf>
    <xf numFmtId="3" fontId="11" fillId="0" borderId="1" xfId="2" applyNumberFormat="1" applyFont="1" applyBorder="1" applyAlignment="1">
      <alignment horizontal="right" vertical="center" wrapText="1"/>
    </xf>
    <xf numFmtId="3" fontId="11" fillId="2" borderId="1" xfId="2" applyNumberFormat="1" applyFont="1" applyFill="1" applyBorder="1" applyAlignment="1">
      <alignment horizontal="center" vertical="center" wrapText="1"/>
    </xf>
    <xf numFmtId="3" fontId="6" fillId="2" borderId="1" xfId="2" applyNumberFormat="1" applyFont="1" applyFill="1" applyBorder="1" applyAlignment="1">
      <alignment vertical="center" wrapText="1"/>
    </xf>
    <xf numFmtId="2" fontId="11" fillId="2" borderId="1" xfId="3" applyNumberFormat="1" applyFont="1" applyFill="1" applyBorder="1" applyAlignment="1">
      <alignment horizontal="center" vertical="center" wrapText="1"/>
    </xf>
    <xf numFmtId="3" fontId="11" fillId="2" borderId="1" xfId="2" applyNumberFormat="1" applyFont="1" applyFill="1" applyBorder="1" applyAlignment="1">
      <alignment horizontal="right" vertical="center" wrapText="1"/>
    </xf>
    <xf numFmtId="169" fontId="11" fillId="2" borderId="1" xfId="2" applyNumberFormat="1" applyFont="1" applyFill="1" applyBorder="1" applyAlignment="1">
      <alignment horizontal="right" vertical="center" wrapText="1"/>
    </xf>
    <xf numFmtId="4" fontId="13" fillId="0" borderId="1" xfId="6" applyNumberFormat="1" applyFont="1" applyBorder="1" applyAlignment="1">
      <alignment vertical="center" wrapText="1"/>
    </xf>
    <xf numFmtId="0" fontId="9" fillId="0" borderId="1" xfId="2" applyFont="1" applyBorder="1" applyAlignment="1">
      <alignment horizontal="center" vertical="center" wrapText="1"/>
    </xf>
    <xf numFmtId="0" fontId="10" fillId="0" borderId="1" xfId="0" applyFont="1" applyBorder="1" applyAlignment="1">
      <alignment horizontal="center" vertical="center" wrapText="1"/>
    </xf>
    <xf numFmtId="2" fontId="9" fillId="0" borderId="1" xfId="3" applyNumberFormat="1" applyFont="1" applyFill="1" applyBorder="1" applyAlignment="1">
      <alignment horizontal="center" vertical="center" wrapText="1"/>
    </xf>
    <xf numFmtId="3" fontId="10" fillId="0" borderId="1" xfId="0" applyNumberFormat="1" applyFont="1" applyBorder="1" applyAlignment="1">
      <alignment horizontal="right" vertical="center" wrapText="1"/>
    </xf>
    <xf numFmtId="0" fontId="13" fillId="0" borderId="1" xfId="0" applyFont="1" applyBorder="1" applyAlignment="1">
      <alignment horizontal="left" vertical="center" wrapText="1"/>
    </xf>
    <xf numFmtId="0" fontId="15" fillId="0" borderId="1" xfId="0" applyFont="1" applyBorder="1" applyAlignment="1">
      <alignment horizontal="right" vertical="center" wrapText="1"/>
    </xf>
    <xf numFmtId="169" fontId="9" fillId="0" borderId="1" xfId="2" applyNumberFormat="1" applyFont="1" applyBorder="1" applyAlignment="1">
      <alignment horizontal="right" vertical="center" wrapText="1"/>
    </xf>
    <xf numFmtId="0" fontId="15" fillId="0" borderId="1" xfId="0" applyFont="1" applyBorder="1" applyAlignment="1">
      <alignment horizontal="left" vertical="center" wrapText="1"/>
    </xf>
    <xf numFmtId="168" fontId="13" fillId="0" borderId="1" xfId="3" applyFont="1" applyFill="1" applyBorder="1" applyAlignment="1">
      <alignment horizontal="center" vertical="center" wrapText="1"/>
    </xf>
    <xf numFmtId="3" fontId="10" fillId="0" borderId="1" xfId="2" applyNumberFormat="1" applyFont="1" applyBorder="1" applyAlignment="1">
      <alignment horizontal="center" vertical="center" wrapText="1"/>
    </xf>
    <xf numFmtId="3" fontId="9" fillId="0" borderId="1" xfId="2" applyNumberFormat="1" applyFont="1" applyBorder="1" applyAlignment="1">
      <alignment horizontal="center" vertical="center" wrapText="1"/>
    </xf>
    <xf numFmtId="0" fontId="10" fillId="0" borderId="1" xfId="2" applyFont="1" applyBorder="1" applyAlignment="1">
      <alignment horizontal="center" vertical="center" wrapText="1"/>
    </xf>
    <xf numFmtId="168" fontId="10" fillId="0" borderId="1" xfId="3" applyFont="1" applyFill="1" applyBorder="1" applyAlignment="1">
      <alignment horizontal="center" vertical="center" wrapText="1"/>
    </xf>
    <xf numFmtId="0" fontId="10" fillId="0" borderId="1" xfId="2" applyFont="1" applyBorder="1" applyAlignment="1">
      <alignment horizontal="right" vertical="center" wrapText="1"/>
    </xf>
    <xf numFmtId="0" fontId="20" fillId="0" borderId="7" xfId="0" applyFont="1" applyBorder="1" applyAlignment="1">
      <alignment horizontal="center" vertical="center"/>
    </xf>
    <xf numFmtId="4" fontId="20" fillId="0" borderId="7" xfId="0" applyNumberFormat="1" applyFont="1" applyBorder="1" applyAlignment="1">
      <alignment horizontal="center" vertical="center"/>
    </xf>
    <xf numFmtId="172" fontId="20" fillId="0" borderId="8" xfId="9" applyNumberFormat="1" applyFont="1" applyFill="1" applyBorder="1" applyAlignment="1">
      <alignment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4" fontId="21" fillId="0" borderId="7" xfId="0" applyNumberFormat="1" applyFont="1" applyBorder="1" applyAlignment="1">
      <alignment horizontal="center" vertical="center"/>
    </xf>
    <xf numFmtId="0" fontId="15" fillId="0" borderId="1" xfId="0" applyFont="1" applyBorder="1" applyAlignment="1">
      <alignment wrapText="1"/>
    </xf>
    <xf numFmtId="2" fontId="15" fillId="0" borderId="1" xfId="0" applyNumberFormat="1" applyFont="1" applyBorder="1" applyAlignment="1">
      <alignment horizontal="center" vertical="center"/>
    </xf>
    <xf numFmtId="0" fontId="20" fillId="0" borderId="1" xfId="0" applyFont="1" applyBorder="1" applyAlignment="1">
      <alignment horizontal="center" vertical="center"/>
    </xf>
    <xf numFmtId="4" fontId="20" fillId="0" borderId="1" xfId="0" applyNumberFormat="1" applyFont="1" applyBorder="1" applyAlignment="1">
      <alignment horizontal="center" vertical="center"/>
    </xf>
    <xf numFmtId="164" fontId="13" fillId="0" borderId="1" xfId="2" applyNumberFormat="1" applyFont="1" applyBorder="1" applyAlignment="1">
      <alignment horizontal="right" vertical="center" wrapText="1"/>
    </xf>
    <xf numFmtId="4" fontId="13" fillId="0" borderId="1" xfId="0" applyNumberFormat="1" applyFont="1" applyBorder="1" applyAlignment="1">
      <alignment horizontal="center"/>
    </xf>
    <xf numFmtId="4" fontId="13" fillId="0" borderId="0" xfId="2" applyNumberFormat="1" applyFont="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vertical="center" wrapText="1"/>
    </xf>
    <xf numFmtId="172" fontId="13" fillId="0" borderId="1" xfId="3" applyNumberFormat="1" applyFont="1" applyFill="1" applyBorder="1" applyAlignment="1">
      <alignment horizontal="right" vertical="center"/>
    </xf>
    <xf numFmtId="3" fontId="13" fillId="0" borderId="1" xfId="0" applyNumberFormat="1" applyFont="1" applyBorder="1" applyAlignment="1">
      <alignment horizontal="right" vertical="center"/>
    </xf>
    <xf numFmtId="0" fontId="13" fillId="0" borderId="1" xfId="2" applyFont="1" applyBorder="1" applyAlignment="1">
      <alignment vertical="center" wrapText="1"/>
    </xf>
    <xf numFmtId="0" fontId="6" fillId="0" borderId="1" xfId="0" applyFont="1" applyBorder="1" applyAlignment="1">
      <alignment horizontal="center" vertical="center" wrapText="1"/>
    </xf>
    <xf numFmtId="170" fontId="6" fillId="0" borderId="1" xfId="3" applyNumberFormat="1" applyFont="1" applyFill="1" applyBorder="1" applyAlignment="1">
      <alignment vertical="center" wrapText="1"/>
    </xf>
    <xf numFmtId="171" fontId="11" fillId="0" borderId="1" xfId="3" applyNumberFormat="1" applyFont="1" applyFill="1" applyBorder="1" applyAlignment="1">
      <alignment horizontal="center" vertical="center" wrapText="1"/>
    </xf>
    <xf numFmtId="4" fontId="13" fillId="0" borderId="1" xfId="3" applyNumberFormat="1" applyFont="1" applyFill="1" applyBorder="1" applyAlignment="1">
      <alignment horizontal="center" vertical="center"/>
    </xf>
    <xf numFmtId="171" fontId="13" fillId="0" borderId="1" xfId="4" applyNumberFormat="1" applyFont="1" applyFill="1" applyBorder="1" applyAlignment="1">
      <alignment horizontal="right" vertical="center" wrapText="1"/>
    </xf>
    <xf numFmtId="0" fontId="15" fillId="0" borderId="1" xfId="5" applyFont="1" applyBorder="1" applyAlignment="1">
      <alignment horizontal="center" vertical="center" wrapText="1"/>
    </xf>
    <xf numFmtId="173" fontId="15" fillId="0" borderId="1" xfId="2" applyNumberFormat="1" applyFont="1" applyBorder="1" applyAlignment="1">
      <alignment horizontal="center" vertical="center" wrapText="1"/>
    </xf>
    <xf numFmtId="0" fontId="15" fillId="0" borderId="1" xfId="0" applyFont="1" applyBorder="1" applyAlignment="1">
      <alignment vertical="center"/>
    </xf>
    <xf numFmtId="169" fontId="0" fillId="0" borderId="0" xfId="0" applyNumberFormat="1"/>
    <xf numFmtId="0" fontId="10" fillId="0" borderId="1" xfId="0" applyFont="1" applyBorder="1" applyAlignment="1">
      <alignment horizontal="center" vertical="center"/>
    </xf>
    <xf numFmtId="3" fontId="10" fillId="0" borderId="1" xfId="2" applyNumberFormat="1" applyFont="1" applyBorder="1" applyAlignment="1">
      <alignment horizontal="right" vertical="center" wrapText="1"/>
    </xf>
    <xf numFmtId="2" fontId="10" fillId="0" borderId="1" xfId="0" applyNumberFormat="1" applyFont="1" applyBorder="1" applyAlignment="1">
      <alignment horizontal="center" vertical="center" wrapText="1"/>
    </xf>
    <xf numFmtId="0" fontId="10" fillId="0" borderId="1" xfId="5" applyFont="1" applyBorder="1" applyAlignment="1">
      <alignment horizontal="center" vertical="center" wrapText="1"/>
    </xf>
    <xf numFmtId="0" fontId="10" fillId="0" borderId="1" xfId="0" applyFont="1" applyBorder="1" applyAlignment="1">
      <alignment vertical="center"/>
    </xf>
    <xf numFmtId="0" fontId="11" fillId="0" borderId="1" xfId="0" applyFont="1" applyBorder="1" applyAlignment="1">
      <alignment horizontal="center" vertical="center"/>
    </xf>
    <xf numFmtId="0" fontId="11" fillId="0" borderId="1" xfId="0" applyFont="1" applyBorder="1" applyAlignment="1">
      <alignment wrapText="1"/>
    </xf>
    <xf numFmtId="3" fontId="11" fillId="0" borderId="1" xfId="0" applyNumberFormat="1" applyFont="1" applyBorder="1" applyAlignment="1">
      <alignment horizontal="right" vertical="center" wrapText="1"/>
    </xf>
    <xf numFmtId="0" fontId="11" fillId="0" borderId="1" xfId="0" applyFont="1" applyBorder="1" applyAlignment="1">
      <alignment horizontal="center" vertical="center" wrapText="1"/>
    </xf>
    <xf numFmtId="0" fontId="22" fillId="0" borderId="0" xfId="0" applyFont="1"/>
    <xf numFmtId="3" fontId="9" fillId="0" borderId="1" xfId="0" applyNumberFormat="1" applyFont="1" applyBorder="1" applyAlignment="1">
      <alignment horizontal="right" vertical="center" wrapText="1"/>
    </xf>
    <xf numFmtId="169" fontId="9" fillId="0" borderId="1" xfId="4" applyNumberFormat="1" applyFont="1" applyFill="1" applyBorder="1" applyAlignment="1">
      <alignment horizontal="right" vertical="center" wrapText="1"/>
    </xf>
    <xf numFmtId="3" fontId="9" fillId="0" borderId="1" xfId="2" applyNumberFormat="1" applyFont="1" applyBorder="1" applyAlignment="1">
      <alignment horizontal="right" vertical="center" wrapText="1"/>
    </xf>
    <xf numFmtId="168" fontId="9" fillId="0" borderId="1" xfId="3" applyFont="1" applyFill="1" applyBorder="1" applyAlignment="1">
      <alignment horizontal="center" vertical="center" wrapText="1"/>
    </xf>
    <xf numFmtId="174" fontId="9" fillId="0" borderId="1" xfId="3" applyNumberFormat="1" applyFont="1" applyFill="1" applyBorder="1" applyAlignment="1">
      <alignment horizontal="right" vertical="center" wrapText="1"/>
    </xf>
    <xf numFmtId="0" fontId="9" fillId="0" borderId="1" xfId="0" applyFont="1" applyBorder="1" applyAlignment="1">
      <alignment horizontal="center" vertical="center"/>
    </xf>
    <xf numFmtId="0" fontId="9" fillId="0" borderId="1" xfId="0" applyFont="1" applyBorder="1" applyAlignment="1">
      <alignment wrapText="1"/>
    </xf>
    <xf numFmtId="2" fontId="9" fillId="0" borderId="1" xfId="0" applyNumberFormat="1" applyFont="1" applyBorder="1" applyAlignment="1">
      <alignment horizontal="center" vertical="center"/>
    </xf>
    <xf numFmtId="0" fontId="24" fillId="0" borderId="0" xfId="0" applyFont="1"/>
    <xf numFmtId="0" fontId="9" fillId="0" borderId="1" xfId="0" applyFont="1" applyBorder="1" applyAlignment="1">
      <alignment horizontal="right" vertical="center" wrapText="1"/>
    </xf>
    <xf numFmtId="0" fontId="9" fillId="0" borderId="1" xfId="2" applyFont="1" applyBorder="1" applyAlignment="1">
      <alignment horizontal="right" vertical="center" wrapText="1"/>
    </xf>
    <xf numFmtId="171" fontId="15" fillId="0" borderId="1" xfId="4" applyNumberFormat="1" applyFont="1" applyFill="1" applyBorder="1" applyAlignment="1">
      <alignment horizontal="right" vertical="center" wrapText="1"/>
    </xf>
    <xf numFmtId="0" fontId="25" fillId="0" borderId="0" xfId="0" applyFont="1"/>
    <xf numFmtId="2" fontId="15" fillId="0" borderId="1" xfId="2" applyNumberFormat="1" applyFont="1" applyBorder="1" applyAlignment="1">
      <alignment horizontal="center" vertical="center" wrapText="1"/>
    </xf>
    <xf numFmtId="0" fontId="15" fillId="0" borderId="1" xfId="2" applyFont="1" applyBorder="1" applyAlignment="1">
      <alignment vertical="center" wrapText="1"/>
    </xf>
    <xf numFmtId="2" fontId="15" fillId="0" borderId="1" xfId="3" applyNumberFormat="1" applyFont="1" applyFill="1" applyBorder="1" applyAlignment="1">
      <alignment vertical="center" wrapText="1"/>
    </xf>
    <xf numFmtId="2" fontId="13" fillId="0" borderId="1" xfId="2" applyNumberFormat="1" applyFont="1" applyBorder="1" applyAlignment="1">
      <alignment horizontal="center" vertical="center" wrapText="1"/>
    </xf>
    <xf numFmtId="0" fontId="26" fillId="2" borderId="1" xfId="0" applyFont="1" applyFill="1" applyBorder="1" applyAlignment="1">
      <alignment horizontal="center" vertical="center" wrapText="1"/>
    </xf>
    <xf numFmtId="3" fontId="15" fillId="2" borderId="1" xfId="2" applyNumberFormat="1" applyFont="1" applyFill="1" applyBorder="1" applyAlignment="1">
      <alignment horizontal="right" vertical="center" wrapText="1"/>
    </xf>
    <xf numFmtId="2" fontId="15" fillId="0" borderId="1" xfId="3" applyNumberFormat="1" applyFont="1" applyFill="1" applyBorder="1" applyAlignment="1">
      <alignment horizontal="center" vertical="center" wrapText="1"/>
    </xf>
    <xf numFmtId="0" fontId="15" fillId="0" borderId="1" xfId="2" applyFont="1" applyBorder="1" applyAlignment="1">
      <alignment horizontal="right" vertical="center" wrapText="1"/>
    </xf>
    <xf numFmtId="0" fontId="27" fillId="0" borderId="7" xfId="0" applyFont="1" applyBorder="1" applyAlignment="1">
      <alignment horizontal="center" vertical="center"/>
    </xf>
    <xf numFmtId="4" fontId="27" fillId="0" borderId="7" xfId="0" applyNumberFormat="1" applyFont="1" applyBorder="1" applyAlignment="1">
      <alignment horizontal="center" vertical="center"/>
    </xf>
    <xf numFmtId="172" fontId="27" fillId="0" borderId="1" xfId="9" applyNumberFormat="1" applyFont="1" applyFill="1" applyBorder="1" applyAlignment="1">
      <alignment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4" fontId="28" fillId="0" borderId="7" xfId="0" applyNumberFormat="1" applyFont="1" applyBorder="1" applyAlignment="1">
      <alignment horizontal="center" vertical="center"/>
    </xf>
    <xf numFmtId="0" fontId="27" fillId="0" borderId="1" xfId="0" applyFont="1" applyBorder="1" applyAlignment="1">
      <alignment horizontal="center" vertical="center"/>
    </xf>
    <xf numFmtId="4" fontId="27" fillId="0" borderId="1" xfId="0" applyNumberFormat="1" applyFont="1" applyBorder="1" applyAlignment="1">
      <alignment horizontal="center" vertical="center"/>
    </xf>
    <xf numFmtId="0" fontId="13" fillId="0" borderId="9" xfId="0" applyFont="1" applyBorder="1" applyAlignment="1">
      <alignment vertical="center" wrapText="1"/>
    </xf>
    <xf numFmtId="168" fontId="13" fillId="0" borderId="2" xfId="3" applyFont="1" applyFill="1" applyBorder="1" applyAlignment="1">
      <alignment vertical="center"/>
    </xf>
    <xf numFmtId="3" fontId="13" fillId="0" borderId="2" xfId="0" applyNumberFormat="1" applyFont="1" applyBorder="1" applyAlignment="1">
      <alignment horizontal="right" vertical="center" wrapText="1"/>
    </xf>
    <xf numFmtId="0" fontId="13" fillId="0" borderId="2" xfId="0" applyFont="1" applyBorder="1" applyAlignment="1">
      <alignment vertical="center"/>
    </xf>
    <xf numFmtId="169" fontId="29" fillId="0" borderId="0" xfId="0" applyNumberFormat="1" applyFont="1"/>
    <xf numFmtId="0" fontId="11" fillId="0" borderId="1" xfId="0" applyFont="1" applyBorder="1" applyAlignment="1">
      <alignment vertical="center" wrapText="1"/>
    </xf>
    <xf numFmtId="169" fontId="13" fillId="0" borderId="1" xfId="0" applyNumberFormat="1" applyFont="1" applyBorder="1" applyAlignment="1">
      <alignment horizontal="right" vertical="center" wrapText="1"/>
    </xf>
    <xf numFmtId="164" fontId="15" fillId="0" borderId="1" xfId="12" applyFont="1" applyFill="1" applyBorder="1" applyAlignment="1">
      <alignment horizontal="right" vertical="center" wrapText="1"/>
    </xf>
    <xf numFmtId="3" fontId="6" fillId="0" borderId="1" xfId="2" applyNumberFormat="1" applyFont="1" applyBorder="1" applyAlignment="1">
      <alignment vertical="center" wrapText="1"/>
    </xf>
    <xf numFmtId="0" fontId="31" fillId="0" borderId="0" xfId="0" applyFont="1"/>
    <xf numFmtId="0" fontId="31" fillId="0" borderId="0" xfId="0" applyFont="1" applyAlignment="1">
      <alignment vertical="center"/>
    </xf>
    <xf numFmtId="0" fontId="30" fillId="0" borderId="0" xfId="0" applyFont="1"/>
    <xf numFmtId="174" fontId="30" fillId="0" borderId="0" xfId="3" applyNumberFormat="1" applyFont="1" applyAlignment="1">
      <alignment vertical="center"/>
    </xf>
    <xf numFmtId="0" fontId="13" fillId="0" borderId="0" xfId="0" applyFont="1" applyAlignment="1">
      <alignment vertical="center" wrapText="1"/>
    </xf>
    <xf numFmtId="4" fontId="26" fillId="0" borderId="0" xfId="2" applyNumberFormat="1" applyFont="1" applyAlignment="1">
      <alignment horizontal="center" vertical="center" wrapText="1"/>
    </xf>
    <xf numFmtId="174" fontId="30" fillId="0" borderId="0" xfId="3" applyNumberFormat="1" applyFont="1" applyAlignment="1">
      <alignment horizontal="right" vertical="center"/>
    </xf>
    <xf numFmtId="169" fontId="15" fillId="2" borderId="3" xfId="3" applyNumberFormat="1" applyFont="1" applyFill="1" applyBorder="1" applyAlignment="1">
      <alignment vertical="center" wrapText="1"/>
    </xf>
    <xf numFmtId="169" fontId="15" fillId="2" borderId="4" xfId="3" applyNumberFormat="1" applyFont="1" applyFill="1" applyBorder="1" applyAlignment="1">
      <alignment vertical="center" wrapText="1"/>
    </xf>
    <xf numFmtId="169" fontId="15" fillId="2" borderId="5" xfId="3" applyNumberFormat="1" applyFont="1" applyFill="1" applyBorder="1" applyAlignment="1">
      <alignment vertical="center" wrapText="1"/>
    </xf>
    <xf numFmtId="4" fontId="15" fillId="0" borderId="1" xfId="2" applyNumberFormat="1" applyFont="1" applyBorder="1" applyAlignment="1">
      <alignment horizontal="center" vertical="center" wrapText="1"/>
    </xf>
    <xf numFmtId="177" fontId="15" fillId="0" borderId="1" xfId="3" applyNumberFormat="1" applyFont="1" applyBorder="1" applyAlignment="1">
      <alignment horizontal="center" vertical="center"/>
    </xf>
    <xf numFmtId="176" fontId="15" fillId="0" borderId="1" xfId="3" applyNumberFormat="1" applyFont="1" applyBorder="1" applyAlignment="1">
      <alignment horizontal="center" vertical="center"/>
    </xf>
    <xf numFmtId="176" fontId="15" fillId="0" borderId="1" xfId="3" applyNumberFormat="1" applyFont="1" applyBorder="1" applyAlignment="1">
      <alignment vertical="center"/>
    </xf>
    <xf numFmtId="0" fontId="15" fillId="2" borderId="1" xfId="2" applyFont="1" applyFill="1" applyBorder="1" applyAlignment="1">
      <alignment horizontal="center" vertical="center" wrapText="1"/>
    </xf>
    <xf numFmtId="3" fontId="15" fillId="2" borderId="1" xfId="2" applyNumberFormat="1" applyFont="1" applyFill="1" applyBorder="1" applyAlignment="1">
      <alignment horizontal="center" vertical="center" wrapText="1"/>
    </xf>
    <xf numFmtId="164" fontId="15" fillId="2" borderId="1" xfId="12" applyFont="1" applyFill="1" applyBorder="1" applyAlignment="1">
      <alignment horizontal="center" vertical="center" wrapText="1"/>
    </xf>
    <xf numFmtId="172" fontId="15" fillId="2" borderId="1" xfId="10" applyNumberFormat="1" applyFont="1" applyFill="1" applyBorder="1" applyAlignment="1">
      <alignment horizontal="center" vertical="center" wrapText="1"/>
    </xf>
    <xf numFmtId="172" fontId="6" fillId="0" borderId="1" xfId="11" applyNumberFormat="1" applyFont="1" applyBorder="1" applyAlignment="1">
      <alignment vertical="center" wrapText="1"/>
    </xf>
    <xf numFmtId="0" fontId="32" fillId="0" borderId="1" xfId="0" applyFont="1" applyBorder="1" applyAlignment="1">
      <alignment horizontal="center" vertical="center" wrapText="1"/>
    </xf>
    <xf numFmtId="0" fontId="32" fillId="0" borderId="1" xfId="0" applyFont="1" applyBorder="1" applyAlignment="1">
      <alignment horizontal="left" vertical="center" wrapText="1"/>
    </xf>
    <xf numFmtId="164" fontId="32" fillId="0" borderId="1" xfId="12" applyFont="1" applyBorder="1" applyAlignment="1">
      <alignment horizontal="right" vertical="center" wrapText="1"/>
    </xf>
    <xf numFmtId="172" fontId="13" fillId="0" borderId="1" xfId="11" applyNumberFormat="1" applyFont="1" applyFill="1" applyBorder="1" applyAlignment="1">
      <alignment horizontal="right" vertical="center" wrapText="1"/>
    </xf>
    <xf numFmtId="172" fontId="11" fillId="0" borderId="1" xfId="11" applyNumberFormat="1" applyFont="1" applyBorder="1" applyAlignment="1">
      <alignment horizontal="right" vertical="center" wrapText="1"/>
    </xf>
    <xf numFmtId="172" fontId="6" fillId="0" borderId="1" xfId="11" applyNumberFormat="1" applyFont="1" applyBorder="1" applyAlignment="1">
      <alignment horizontal="right" vertical="center" wrapText="1"/>
    </xf>
    <xf numFmtId="172" fontId="13" fillId="0" borderId="1" xfId="11" applyNumberFormat="1" applyFont="1" applyBorder="1" applyAlignment="1">
      <alignment horizontal="right" vertical="center" wrapText="1"/>
    </xf>
    <xf numFmtId="172" fontId="13" fillId="0" borderId="1" xfId="11" applyNumberFormat="1" applyFont="1" applyBorder="1" applyAlignment="1">
      <alignment vertical="center" wrapText="1"/>
    </xf>
    <xf numFmtId="164" fontId="13" fillId="0" borderId="1" xfId="12" applyFont="1" applyFill="1" applyBorder="1" applyAlignment="1">
      <alignment vertical="center" wrapText="1"/>
    </xf>
    <xf numFmtId="164" fontId="13" fillId="0" borderId="1" xfId="12" applyFont="1" applyFill="1" applyBorder="1" applyAlignment="1">
      <alignment horizontal="right" vertical="center" wrapText="1"/>
    </xf>
    <xf numFmtId="164" fontId="13" fillId="0" borderId="1" xfId="0" applyNumberFormat="1" applyFont="1" applyBorder="1" applyAlignment="1">
      <alignment horizontal="right" vertical="center" wrapText="1"/>
    </xf>
    <xf numFmtId="4" fontId="13" fillId="0" borderId="1" xfId="0" applyNumberFormat="1" applyFont="1" applyBorder="1" applyAlignment="1">
      <alignment horizontal="center" vertical="center" wrapText="1"/>
    </xf>
    <xf numFmtId="172" fontId="15" fillId="0" borderId="1" xfId="0" applyNumberFormat="1" applyFont="1" applyBorder="1" applyAlignment="1">
      <alignment horizontal="right" vertical="center" wrapText="1"/>
    </xf>
    <xf numFmtId="164" fontId="13" fillId="0" borderId="1" xfId="12" applyFont="1" applyFill="1" applyBorder="1" applyAlignment="1">
      <alignment horizontal="center" vertical="center" wrapText="1"/>
    </xf>
    <xf numFmtId="172" fontId="13" fillId="0" borderId="1" xfId="10" applyNumberFormat="1" applyFont="1" applyFill="1" applyBorder="1" applyAlignment="1">
      <alignment horizontal="center" vertical="center" wrapText="1"/>
    </xf>
    <xf numFmtId="164" fontId="15" fillId="0" borderId="1" xfId="12" applyFont="1" applyFill="1" applyBorder="1" applyAlignment="1">
      <alignment vertical="center" wrapText="1"/>
    </xf>
    <xf numFmtId="0" fontId="15" fillId="0" borderId="1" xfId="2" applyFont="1" applyBorder="1" applyAlignment="1">
      <alignment horizontal="left" vertical="center" wrapText="1"/>
    </xf>
    <xf numFmtId="172" fontId="11" fillId="0" borderId="1" xfId="10" applyNumberFormat="1" applyFont="1" applyFill="1" applyBorder="1" applyAlignment="1">
      <alignment horizontal="right" vertical="center" wrapText="1"/>
    </xf>
    <xf numFmtId="172" fontId="15" fillId="0" borderId="1" xfId="10" applyNumberFormat="1" applyFont="1" applyFill="1" applyBorder="1" applyAlignment="1">
      <alignment horizontal="right" vertical="center" wrapText="1"/>
    </xf>
    <xf numFmtId="0" fontId="23" fillId="0" borderId="1" xfId="0" applyFont="1" applyBorder="1" applyAlignment="1">
      <alignment horizontal="right" vertical="center" wrapText="1"/>
    </xf>
    <xf numFmtId="172" fontId="13" fillId="0" borderId="1" xfId="10" applyNumberFormat="1" applyFont="1" applyFill="1" applyBorder="1" applyAlignment="1">
      <alignment horizontal="right" vertical="center" wrapText="1"/>
    </xf>
    <xf numFmtId="0" fontId="33" fillId="0" borderId="1" xfId="0" applyFont="1" applyBorder="1" applyAlignment="1">
      <alignment horizontal="center" vertical="center" wrapText="1"/>
    </xf>
    <xf numFmtId="172" fontId="15" fillId="0" borderId="1" xfId="10" applyNumberFormat="1" applyFont="1" applyFill="1" applyBorder="1" applyAlignment="1">
      <alignment horizontal="center" vertical="center" wrapText="1"/>
    </xf>
    <xf numFmtId="169" fontId="13" fillId="0" borderId="1" xfId="11" applyNumberFormat="1" applyFont="1" applyFill="1" applyBorder="1" applyAlignment="1">
      <alignment horizontal="right" vertical="center"/>
    </xf>
    <xf numFmtId="172" fontId="15" fillId="0" borderId="1" xfId="11" applyNumberFormat="1" applyFont="1" applyFill="1" applyBorder="1" applyAlignment="1">
      <alignment horizontal="right" vertical="center" wrapText="1"/>
    </xf>
    <xf numFmtId="164" fontId="15" fillId="0" borderId="1" xfId="12" applyFont="1" applyFill="1" applyBorder="1" applyAlignment="1">
      <alignment horizontal="center" vertical="center" wrapText="1"/>
    </xf>
    <xf numFmtId="0" fontId="36" fillId="3" borderId="1" xfId="0" applyFont="1" applyFill="1" applyBorder="1" applyAlignment="1">
      <alignment horizontal="left" vertical="center" wrapText="1"/>
    </xf>
    <xf numFmtId="172" fontId="13" fillId="3" borderId="1" xfId="14" applyNumberFormat="1" applyFont="1" applyFill="1" applyBorder="1" applyAlignment="1">
      <alignment vertical="center"/>
    </xf>
    <xf numFmtId="172" fontId="13" fillId="3" borderId="1" xfId="14" applyNumberFormat="1" applyFont="1" applyFill="1" applyBorder="1" applyAlignment="1">
      <alignment horizontal="right" vertical="center"/>
    </xf>
    <xf numFmtId="4" fontId="15" fillId="3" borderId="1" xfId="0" applyNumberFormat="1" applyFont="1" applyFill="1" applyBorder="1" applyAlignment="1">
      <alignment horizontal="left" vertical="center"/>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xf>
    <xf numFmtId="178" fontId="13" fillId="3" borderId="1" xfId="0" applyNumberFormat="1" applyFont="1" applyFill="1" applyBorder="1" applyAlignment="1">
      <alignment horizontal="center" vertical="center"/>
    </xf>
    <xf numFmtId="0" fontId="13" fillId="3" borderId="1" xfId="0" applyFont="1" applyFill="1" applyBorder="1" applyAlignment="1">
      <alignment horizontal="left" vertical="center" wrapText="1"/>
    </xf>
    <xf numFmtId="4" fontId="37" fillId="3" borderId="1" xfId="0" applyNumberFormat="1" applyFont="1" applyFill="1" applyBorder="1" applyAlignment="1">
      <alignment horizontal="left" vertical="center"/>
    </xf>
    <xf numFmtId="0" fontId="38" fillId="3" borderId="1" xfId="0" applyFont="1" applyFill="1" applyBorder="1" applyAlignment="1">
      <alignment horizontal="center" vertical="center"/>
    </xf>
    <xf numFmtId="178" fontId="38" fillId="3" borderId="1" xfId="0" applyNumberFormat="1" applyFont="1" applyFill="1" applyBorder="1" applyAlignment="1">
      <alignment horizontal="center" vertical="center"/>
    </xf>
    <xf numFmtId="172" fontId="10" fillId="3" borderId="1" xfId="14" applyNumberFormat="1" applyFont="1" applyFill="1" applyBorder="1" applyAlignment="1">
      <alignment vertical="center"/>
    </xf>
    <xf numFmtId="164" fontId="36" fillId="3" borderId="1" xfId="12" applyFont="1" applyFill="1" applyBorder="1" applyAlignment="1">
      <alignment horizontal="left" vertical="center" wrapText="1"/>
    </xf>
    <xf numFmtId="4" fontId="36" fillId="3" borderId="1" xfId="0" applyNumberFormat="1" applyFont="1" applyFill="1" applyBorder="1" applyAlignment="1">
      <alignment horizontal="left" vertical="center"/>
    </xf>
    <xf numFmtId="178" fontId="35" fillId="3" borderId="1" xfId="0" applyNumberFormat="1" applyFont="1" applyFill="1" applyBorder="1" applyAlignment="1">
      <alignment horizontal="right" vertical="center"/>
    </xf>
    <xf numFmtId="172" fontId="13" fillId="3" borderId="1" xfId="14" applyNumberFormat="1" applyFont="1" applyFill="1" applyBorder="1" applyAlignment="1">
      <alignment horizontal="center" vertical="center"/>
    </xf>
    <xf numFmtId="0" fontId="15" fillId="3" borderId="1" xfId="0" applyFont="1" applyFill="1" applyBorder="1" applyAlignment="1">
      <alignment horizontal="right" vertical="center" wrapText="1"/>
    </xf>
    <xf numFmtId="4" fontId="15" fillId="3" borderId="1" xfId="0" applyNumberFormat="1" applyFont="1" applyFill="1" applyBorder="1" applyAlignment="1">
      <alignment horizontal="center" vertical="center"/>
    </xf>
    <xf numFmtId="3" fontId="6" fillId="2" borderId="1" xfId="2"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166" fontId="4" fillId="2" borderId="4" xfId="0" applyNumberFormat="1" applyFont="1" applyFill="1" applyBorder="1" applyAlignment="1">
      <alignment horizontal="center" vertical="center" wrapText="1"/>
    </xf>
    <xf numFmtId="167" fontId="4" fillId="2" borderId="5" xfId="0" applyNumberFormat="1" applyFont="1" applyFill="1" applyBorder="1" applyAlignment="1">
      <alignment horizontal="right" vertical="center" wrapText="1"/>
    </xf>
    <xf numFmtId="0" fontId="39" fillId="0" borderId="0" xfId="0" applyFont="1"/>
    <xf numFmtId="0" fontId="0" fillId="0" borderId="0" xfId="0" applyAlignment="1">
      <alignment wrapText="1"/>
    </xf>
    <xf numFmtId="0" fontId="22" fillId="0" borderId="0" xfId="0" applyFont="1" applyAlignment="1">
      <alignment wrapText="1"/>
    </xf>
    <xf numFmtId="0" fontId="39" fillId="0" borderId="0" xfId="0" applyFont="1" applyAlignment="1">
      <alignment vertical="top" wrapText="1"/>
    </xf>
    <xf numFmtId="0" fontId="32" fillId="4" borderId="1" xfId="0" applyFont="1" applyFill="1" applyBorder="1" applyAlignment="1">
      <alignment horizontal="center" vertical="center" wrapText="1"/>
    </xf>
    <xf numFmtId="4" fontId="15" fillId="5" borderId="1" xfId="2" applyNumberFormat="1" applyFont="1" applyFill="1" applyBorder="1" applyAlignment="1">
      <alignment horizontal="center" vertical="center" wrapText="1"/>
    </xf>
    <xf numFmtId="177" fontId="15" fillId="5" borderId="1" xfId="3" applyNumberFormat="1" applyFont="1" applyFill="1" applyBorder="1" applyAlignment="1">
      <alignment horizontal="center" vertical="center"/>
    </xf>
    <xf numFmtId="176" fontId="15" fillId="5" borderId="1" xfId="3" applyNumberFormat="1" applyFont="1" applyFill="1" applyBorder="1" applyAlignment="1">
      <alignment horizontal="center" vertical="center"/>
    </xf>
    <xf numFmtId="176" fontId="15" fillId="5" borderId="1" xfId="3" applyNumberFormat="1" applyFont="1" applyFill="1" applyBorder="1" applyAlignment="1">
      <alignment vertical="center"/>
    </xf>
    <xf numFmtId="177" fontId="15" fillId="6" borderId="1" xfId="3" applyNumberFormat="1" applyFont="1" applyFill="1" applyBorder="1" applyAlignment="1">
      <alignment horizontal="center" vertical="center"/>
    </xf>
    <xf numFmtId="176" fontId="15" fillId="6" borderId="1" xfId="3" applyNumberFormat="1" applyFont="1" applyFill="1" applyBorder="1" applyAlignment="1">
      <alignment horizontal="center" vertical="center"/>
    </xf>
    <xf numFmtId="176" fontId="15" fillId="6" borderId="1" xfId="3" applyNumberFormat="1" applyFont="1" applyFill="1" applyBorder="1" applyAlignment="1">
      <alignment vertical="center"/>
    </xf>
    <xf numFmtId="0" fontId="23" fillId="6" borderId="10" xfId="0" applyFont="1" applyFill="1" applyBorder="1" applyAlignment="1">
      <alignment vertical="center" wrapText="1"/>
    </xf>
    <xf numFmtId="0" fontId="23" fillId="6" borderId="13" xfId="0" applyFont="1" applyFill="1" applyBorder="1" applyAlignment="1">
      <alignment vertical="center" wrapText="1"/>
    </xf>
    <xf numFmtId="0" fontId="13" fillId="0" borderId="0" xfId="5" applyFont="1" applyAlignment="1">
      <alignment vertical="center" wrapText="1"/>
    </xf>
    <xf numFmtId="0" fontId="13" fillId="0" borderId="3" xfId="5" applyFont="1" applyBorder="1" applyAlignment="1">
      <alignment vertical="center" wrapText="1"/>
    </xf>
    <xf numFmtId="0" fontId="13" fillId="0" borderId="1" xfId="5" applyFont="1" applyBorder="1" applyAlignment="1">
      <alignment vertical="center" wrapText="1"/>
    </xf>
    <xf numFmtId="0" fontId="13" fillId="3" borderId="1" xfId="5" applyFont="1" applyFill="1" applyBorder="1" applyAlignment="1">
      <alignment horizontal="center" vertical="center" wrapText="1"/>
    </xf>
    <xf numFmtId="4" fontId="13" fillId="3" borderId="1" xfId="6" applyNumberFormat="1" applyFont="1" applyFill="1" applyBorder="1" applyAlignment="1">
      <alignment vertical="center" wrapText="1"/>
    </xf>
    <xf numFmtId="0" fontId="13" fillId="3" borderId="1" xfId="0" applyFont="1" applyFill="1" applyBorder="1" applyAlignment="1">
      <alignment horizontal="center" vertical="center" wrapText="1"/>
    </xf>
    <xf numFmtId="166" fontId="12" fillId="3" borderId="1" xfId="0" applyNumberFormat="1" applyFont="1" applyFill="1" applyBorder="1" applyAlignment="1">
      <alignment horizontal="center" vertical="center" wrapText="1"/>
    </xf>
    <xf numFmtId="3" fontId="13" fillId="3" borderId="1" xfId="0" applyNumberFormat="1" applyFont="1" applyFill="1" applyBorder="1" applyAlignment="1">
      <alignment horizontal="right" vertical="center" wrapText="1"/>
    </xf>
    <xf numFmtId="0" fontId="13" fillId="3" borderId="1" xfId="0" applyFont="1" applyFill="1" applyBorder="1" applyAlignment="1">
      <alignment vertical="center" wrapText="1"/>
    </xf>
    <xf numFmtId="4" fontId="13" fillId="3" borderId="1" xfId="0" applyNumberFormat="1" applyFont="1" applyFill="1" applyBorder="1" applyAlignment="1">
      <alignment horizontal="center" vertical="center"/>
    </xf>
    <xf numFmtId="0" fontId="0" fillId="3" borderId="0" xfId="0" applyFill="1"/>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3" fontId="8" fillId="0" borderId="3" xfId="2" applyNumberFormat="1" applyFont="1" applyBorder="1" applyAlignment="1">
      <alignment horizontal="center" vertical="center" wrapText="1"/>
    </xf>
    <xf numFmtId="3" fontId="8" fillId="0" borderId="4" xfId="2" applyNumberFormat="1" applyFont="1" applyBorder="1" applyAlignment="1">
      <alignment horizontal="center" vertical="center" wrapText="1"/>
    </xf>
    <xf numFmtId="3" fontId="8" fillId="0" borderId="5" xfId="2" applyNumberFormat="1" applyFont="1" applyBorder="1" applyAlignment="1">
      <alignment horizontal="center" vertical="center" wrapText="1"/>
    </xf>
    <xf numFmtId="0" fontId="16" fillId="0" borderId="3"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5" xfId="2" applyFont="1" applyBorder="1" applyAlignment="1">
      <alignment horizontal="center" vertical="center" wrapText="1"/>
    </xf>
    <xf numFmtId="3" fontId="13" fillId="0" borderId="3" xfId="2" applyNumberFormat="1" applyFont="1" applyBorder="1" applyAlignment="1">
      <alignment horizontal="center" vertical="center" wrapText="1"/>
    </xf>
    <xf numFmtId="3" fontId="13" fillId="0" borderId="4" xfId="2" applyNumberFormat="1" applyFont="1" applyBorder="1" applyAlignment="1">
      <alignment horizontal="center" vertical="center" wrapText="1"/>
    </xf>
    <xf numFmtId="3" fontId="13" fillId="0" borderId="5" xfId="2" applyNumberFormat="1"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2" fontId="11" fillId="0" borderId="3" xfId="2" applyNumberFormat="1" applyFont="1" applyBorder="1" applyAlignment="1">
      <alignment horizontal="center" vertical="center" wrapText="1"/>
    </xf>
    <xf numFmtId="2" fontId="11" fillId="0" borderId="4" xfId="2" applyNumberFormat="1" applyFont="1" applyBorder="1" applyAlignment="1">
      <alignment horizontal="center" vertical="center" wrapText="1"/>
    </xf>
    <xf numFmtId="2" fontId="11" fillId="0" borderId="5" xfId="2" applyNumberFormat="1"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6" fillId="0" borderId="5" xfId="2" applyFont="1" applyBorder="1" applyAlignment="1">
      <alignment horizontal="center" vertical="center" wrapText="1"/>
    </xf>
    <xf numFmtId="0" fontId="26" fillId="0" borderId="0" xfId="0" applyFont="1" applyAlignment="1">
      <alignment horizontal="center" vertical="center" wrapText="1"/>
    </xf>
    <xf numFmtId="3" fontId="6" fillId="2" borderId="3" xfId="2" applyNumberFormat="1" applyFont="1" applyFill="1" applyBorder="1" applyAlignment="1">
      <alignment horizontal="left" vertical="center" wrapText="1"/>
    </xf>
    <xf numFmtId="3" fontId="6" fillId="2" borderId="4" xfId="2" applyNumberFormat="1" applyFont="1" applyFill="1" applyBorder="1" applyAlignment="1">
      <alignment horizontal="left" vertical="center" wrapText="1"/>
    </xf>
    <xf numFmtId="3" fontId="6" fillId="2" borderId="5" xfId="2" applyNumberFormat="1" applyFont="1" applyFill="1" applyBorder="1" applyAlignment="1">
      <alignment horizontal="left" vertical="center" wrapText="1"/>
    </xf>
    <xf numFmtId="3" fontId="9" fillId="0" borderId="3" xfId="2" applyNumberFormat="1" applyFont="1" applyBorder="1" applyAlignment="1">
      <alignment horizontal="center" vertical="center" wrapText="1"/>
    </xf>
    <xf numFmtId="3" fontId="9" fillId="0" borderId="4" xfId="2" applyNumberFormat="1" applyFont="1" applyBorder="1" applyAlignment="1">
      <alignment horizontal="center" vertical="center" wrapText="1"/>
    </xf>
    <xf numFmtId="3" fontId="9" fillId="0" borderId="5" xfId="2" applyNumberFormat="1" applyFont="1" applyBorder="1" applyAlignment="1">
      <alignment horizontal="center" vertical="center" wrapText="1"/>
    </xf>
    <xf numFmtId="0" fontId="26" fillId="0" borderId="0" xfId="0" applyFont="1" applyAlignment="1">
      <alignment horizontal="center" vertical="top" wrapText="1"/>
    </xf>
    <xf numFmtId="0" fontId="39" fillId="0" borderId="11" xfId="0" applyFont="1" applyBorder="1" applyAlignment="1">
      <alignment horizontal="left" vertical="top" wrapText="1"/>
    </xf>
    <xf numFmtId="0" fontId="39" fillId="0" borderId="0" xfId="0" applyFont="1" applyAlignment="1">
      <alignment horizontal="left" vertical="top" wrapText="1"/>
    </xf>
    <xf numFmtId="0" fontId="39" fillId="0" borderId="11" xfId="0" applyFont="1" applyBorder="1" applyAlignment="1">
      <alignment horizontal="left" vertical="top"/>
    </xf>
    <xf numFmtId="0" fontId="39" fillId="0" borderId="0" xfId="0" applyFont="1" applyAlignment="1">
      <alignment horizontal="left" vertical="top"/>
    </xf>
    <xf numFmtId="0" fontId="39" fillId="0" borderId="11" xfId="0" applyFont="1" applyBorder="1" applyAlignment="1">
      <alignment horizontal="center" wrapText="1"/>
    </xf>
    <xf numFmtId="0" fontId="39" fillId="0" borderId="0" xfId="0" applyFont="1" applyAlignment="1">
      <alignment horizontal="center" wrapText="1"/>
    </xf>
    <xf numFmtId="0" fontId="39" fillId="0" borderId="11" xfId="0" applyFont="1" applyBorder="1" applyAlignment="1">
      <alignment horizontal="center" vertical="top" wrapText="1"/>
    </xf>
    <xf numFmtId="0" fontId="39" fillId="0" borderId="0" xfId="0" applyFont="1" applyAlignment="1">
      <alignment horizontal="center" vertical="top" wrapText="1"/>
    </xf>
    <xf numFmtId="0" fontId="24" fillId="0" borderId="3" xfId="0" applyFont="1" applyBorder="1" applyAlignment="1">
      <alignment horizontal="center"/>
    </xf>
    <xf numFmtId="0" fontId="24" fillId="0" borderId="4" xfId="0" applyFont="1" applyBorder="1" applyAlignment="1">
      <alignment horizontal="center"/>
    </xf>
    <xf numFmtId="0" fontId="24" fillId="0" borderId="5" xfId="0" applyFont="1" applyBorder="1" applyAlignment="1">
      <alignment horizontal="center"/>
    </xf>
    <xf numFmtId="0" fontId="23" fillId="6" borderId="12" xfId="0" applyFont="1" applyFill="1" applyBorder="1" applyAlignment="1">
      <alignment horizontal="center" vertical="center" wrapText="1"/>
    </xf>
    <xf numFmtId="0" fontId="23" fillId="6" borderId="10"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23" fillId="0" borderId="1" xfId="0" applyFont="1" applyBorder="1" applyAlignment="1">
      <alignment horizontal="left" vertical="center"/>
    </xf>
    <xf numFmtId="0" fontId="23" fillId="6" borderId="3" xfId="0" applyFont="1" applyFill="1" applyBorder="1" applyAlignment="1">
      <alignment horizontal="left" vertical="center"/>
    </xf>
    <xf numFmtId="0" fontId="23" fillId="6" borderId="4" xfId="0" applyFont="1" applyFill="1" applyBorder="1" applyAlignment="1">
      <alignment horizontal="left" vertical="center"/>
    </xf>
    <xf numFmtId="0" fontId="23" fillId="6" borderId="5" xfId="0" applyFont="1" applyFill="1" applyBorder="1" applyAlignment="1">
      <alignment horizontal="left" vertical="center"/>
    </xf>
    <xf numFmtId="0" fontId="23" fillId="5" borderId="3" xfId="0" applyFont="1" applyFill="1" applyBorder="1" applyAlignment="1">
      <alignment horizontal="left" vertical="center"/>
    </xf>
    <xf numFmtId="0" fontId="23" fillId="5" borderId="4" xfId="0" applyFont="1" applyFill="1" applyBorder="1" applyAlignment="1">
      <alignment horizontal="left" vertical="center"/>
    </xf>
    <xf numFmtId="0" fontId="23" fillId="5" borderId="5" xfId="0" applyFont="1" applyFill="1" applyBorder="1" applyAlignment="1">
      <alignment horizontal="left" vertical="center"/>
    </xf>
    <xf numFmtId="4" fontId="2" fillId="0" borderId="0" xfId="2" applyNumberFormat="1" applyFont="1" applyAlignment="1">
      <alignment horizontal="center" vertical="center" wrapText="1"/>
    </xf>
    <xf numFmtId="4" fontId="15" fillId="0" borderId="1" xfId="2" applyNumberFormat="1" applyFont="1" applyBorder="1" applyAlignment="1">
      <alignment horizontal="left" vertical="center" wrapText="1"/>
    </xf>
    <xf numFmtId="4" fontId="15" fillId="0" borderId="3" xfId="2" applyNumberFormat="1" applyFont="1" applyBorder="1" applyAlignment="1">
      <alignment horizontal="left" vertical="center" wrapText="1"/>
    </xf>
    <xf numFmtId="4" fontId="15" fillId="0" borderId="4" xfId="2" applyNumberFormat="1" applyFont="1" applyBorder="1" applyAlignment="1">
      <alignment horizontal="left" vertical="center" wrapText="1"/>
    </xf>
    <xf numFmtId="4" fontId="15" fillId="0" borderId="5" xfId="2" applyNumberFormat="1" applyFont="1" applyBorder="1" applyAlignment="1">
      <alignment horizontal="left" vertical="center" wrapText="1"/>
    </xf>
    <xf numFmtId="4" fontId="15" fillId="5" borderId="3" xfId="2" applyNumberFormat="1" applyFont="1" applyFill="1" applyBorder="1" applyAlignment="1">
      <alignment horizontal="left" vertical="center" wrapText="1"/>
    </xf>
    <xf numFmtId="4" fontId="15" fillId="5" borderId="4" xfId="2" applyNumberFormat="1" applyFont="1" applyFill="1" applyBorder="1" applyAlignment="1">
      <alignment horizontal="left" vertical="center" wrapText="1"/>
    </xf>
    <xf numFmtId="4" fontId="15" fillId="5" borderId="5" xfId="2" applyNumberFormat="1" applyFont="1" applyFill="1" applyBorder="1" applyAlignment="1">
      <alignment horizontal="left" vertical="center" wrapText="1"/>
    </xf>
  </cellXfs>
  <cellStyles count="16">
    <cellStyle name="Désignation" xfId="15" xr:uid="{C188228C-70EC-475D-98A3-AD5B88461ED9}"/>
    <cellStyle name="Milliers" xfId="11" builtinId="3"/>
    <cellStyle name="Milliers [0]" xfId="12" builtinId="6"/>
    <cellStyle name="Milliers 10" xfId="14" xr:uid="{13344CC7-A733-4245-A627-B610FA6B7F56}"/>
    <cellStyle name="Milliers 14" xfId="13" xr:uid="{0C9F3AD3-0B9B-4315-BD20-13A0C14ACA30}"/>
    <cellStyle name="Milliers 2 2" xfId="10" xr:uid="{F5336AF2-C1AE-4260-8941-00C1F87F129E}"/>
    <cellStyle name="Milliers 2 2 2" xfId="9" xr:uid="{AA24F9BE-F03A-4E9D-8807-54A54B4792E1}"/>
    <cellStyle name="Milliers 2 3" xfId="4" xr:uid="{F09D397B-FA95-42D1-8022-4EB0C5605B3E}"/>
    <cellStyle name="Milliers 3" xfId="3" xr:uid="{799CB04C-EE00-494F-9A85-95F151037D85}"/>
    <cellStyle name="Normal" xfId="0" builtinId="0"/>
    <cellStyle name="Normal 12" xfId="8" xr:uid="{F07456CC-14AF-4C3E-A41C-AE17B71EB18E}"/>
    <cellStyle name="Normal 18" xfId="5" xr:uid="{56546EE0-8E5C-4510-92CA-76FB541CB48B}"/>
    <cellStyle name="Normal 2 2 2" xfId="2" xr:uid="{81DB7B8F-6C84-4BBD-A6AC-06DC3E9BE9AC}"/>
    <cellStyle name="Normal 3" xfId="7" xr:uid="{459AC215-6C8C-40A9-AD96-C0ED88902432}"/>
    <cellStyle name="Normal 4" xfId="1" xr:uid="{0D71AE5C-22A4-4346-AF15-96CE255DB8D7}"/>
    <cellStyle name="Normal 9" xfId="6" xr:uid="{C83BF09E-E465-4AC2-9246-38276C0473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A037A-3B45-4ABE-87D3-731C7A7EBB42}">
  <sheetPr>
    <pageSetUpPr fitToPage="1"/>
  </sheetPr>
  <dimension ref="A1:L299"/>
  <sheetViews>
    <sheetView view="pageBreakPreview" topLeftCell="A33" zoomScale="115" zoomScaleNormal="130" zoomScaleSheetLayoutView="115" workbookViewId="0">
      <selection activeCell="A44" sqref="A44:XFD44"/>
    </sheetView>
  </sheetViews>
  <sheetFormatPr defaultColWidth="11.42578125" defaultRowHeight="14.45"/>
  <cols>
    <col min="2" max="2" width="49.85546875" bestFit="1" customWidth="1"/>
    <col min="5" max="5" width="12.7109375" bestFit="1" customWidth="1"/>
  </cols>
  <sheetData>
    <row r="1" spans="1:6" ht="69.95" customHeight="1">
      <c r="A1" s="301" t="s">
        <v>0</v>
      </c>
      <c r="B1" s="301"/>
      <c r="C1" s="301"/>
      <c r="D1" s="301"/>
      <c r="E1" s="301"/>
      <c r="F1" s="301"/>
    </row>
    <row r="2" spans="1:6" ht="20.100000000000001" customHeight="1">
      <c r="A2" s="302" t="s">
        <v>1</v>
      </c>
      <c r="B2" s="302"/>
      <c r="C2" s="302"/>
      <c r="D2" s="302"/>
      <c r="E2" s="302"/>
      <c r="F2" s="302"/>
    </row>
    <row r="3" spans="1:6" ht="20.100000000000001" customHeight="1">
      <c r="A3" s="303" t="s">
        <v>2</v>
      </c>
      <c r="B3" s="303"/>
      <c r="C3" s="303"/>
      <c r="D3" s="303"/>
      <c r="E3" s="303"/>
      <c r="F3" s="303"/>
    </row>
    <row r="4" spans="1:6" ht="15" customHeight="1">
      <c r="A4" s="1"/>
      <c r="B4" s="1"/>
      <c r="C4" s="2"/>
      <c r="D4" s="2"/>
      <c r="E4" s="3"/>
      <c r="F4" s="2"/>
    </row>
    <row r="5" spans="1:6" ht="26.45">
      <c r="A5" s="4" t="s">
        <v>3</v>
      </c>
      <c r="B5" s="5" t="s">
        <v>4</v>
      </c>
      <c r="C5" s="5" t="s">
        <v>5</v>
      </c>
      <c r="D5" s="6" t="s">
        <v>6</v>
      </c>
      <c r="E5" s="7" t="s">
        <v>7</v>
      </c>
      <c r="F5" s="5" t="s">
        <v>8</v>
      </c>
    </row>
    <row r="6" spans="1:6">
      <c r="A6" s="8"/>
      <c r="B6" s="9"/>
      <c r="C6" s="8"/>
      <c r="D6" s="10"/>
      <c r="E6" s="11"/>
      <c r="F6" s="12"/>
    </row>
    <row r="7" spans="1:6">
      <c r="A7" s="114"/>
      <c r="B7" s="115" t="s">
        <v>9</v>
      </c>
      <c r="C7" s="114"/>
      <c r="D7" s="116"/>
      <c r="E7" s="117"/>
      <c r="F7" s="118"/>
    </row>
    <row r="8" spans="1:6" ht="15.6">
      <c r="A8" s="29"/>
      <c r="B8" s="30"/>
      <c r="C8" s="29"/>
      <c r="D8" s="31"/>
      <c r="E8" s="32"/>
      <c r="F8" s="33"/>
    </row>
    <row r="9" spans="1:6">
      <c r="A9" s="103">
        <v>0</v>
      </c>
      <c r="B9" s="59" t="s">
        <v>10</v>
      </c>
      <c r="C9" s="104"/>
      <c r="D9" s="105"/>
      <c r="E9" s="76"/>
      <c r="F9" s="106"/>
    </row>
    <row r="10" spans="1:6" ht="52.9">
      <c r="A10" s="36">
        <v>0.1</v>
      </c>
      <c r="B10" s="38" t="s">
        <v>11</v>
      </c>
      <c r="C10" s="41" t="s">
        <v>12</v>
      </c>
      <c r="D10" s="108">
        <v>1</v>
      </c>
      <c r="E10" s="17">
        <v>7500000</v>
      </c>
      <c r="F10" s="109">
        <f>PRODUCT(D10,E10)</f>
        <v>7500000</v>
      </c>
    </row>
    <row r="11" spans="1:6" ht="39.6">
      <c r="A11" s="36">
        <v>0.2</v>
      </c>
      <c r="B11" s="38" t="s">
        <v>13</v>
      </c>
      <c r="C11" s="41" t="s">
        <v>12</v>
      </c>
      <c r="D11" s="108">
        <v>1</v>
      </c>
      <c r="E11" s="17">
        <v>2500000</v>
      </c>
      <c r="F11" s="109">
        <f>PRODUCT(D11,E11)</f>
        <v>2500000</v>
      </c>
    </row>
    <row r="12" spans="1:6">
      <c r="A12" s="36">
        <v>0.3</v>
      </c>
      <c r="B12" s="38" t="s">
        <v>14</v>
      </c>
      <c r="C12" s="41" t="s">
        <v>12</v>
      </c>
      <c r="D12" s="108">
        <v>1</v>
      </c>
      <c r="E12" s="17">
        <v>1750000</v>
      </c>
      <c r="F12" s="109">
        <f>PRODUCT(D12,E12)</f>
        <v>1750000</v>
      </c>
    </row>
    <row r="13" spans="1:6">
      <c r="A13" s="36">
        <v>0.4</v>
      </c>
      <c r="B13" s="38" t="s">
        <v>15</v>
      </c>
      <c r="C13" s="41" t="s">
        <v>12</v>
      </c>
      <c r="D13" s="110">
        <v>1</v>
      </c>
      <c r="E13" s="17">
        <v>1500000</v>
      </c>
      <c r="F13" s="109">
        <f>PRODUCT(D13,E13)</f>
        <v>1500000</v>
      </c>
    </row>
    <row r="14" spans="1:6">
      <c r="A14" s="36">
        <v>0.5</v>
      </c>
      <c r="B14" s="38" t="s">
        <v>16</v>
      </c>
      <c r="C14" s="41" t="s">
        <v>17</v>
      </c>
      <c r="D14" s="110">
        <v>1026.49</v>
      </c>
      <c r="E14" s="17">
        <v>5500</v>
      </c>
      <c r="F14" s="109">
        <f>PRODUCT(D14,E14)</f>
        <v>5645695</v>
      </c>
    </row>
    <row r="15" spans="1:6">
      <c r="A15" s="111"/>
      <c r="B15" s="18" t="s">
        <v>18</v>
      </c>
      <c r="C15" s="111"/>
      <c r="D15" s="112"/>
      <c r="E15" s="113"/>
      <c r="F15" s="40">
        <f>SUM(F10:F14)</f>
        <v>18895695</v>
      </c>
    </row>
    <row r="16" spans="1:6" ht="15.6">
      <c r="A16" s="304"/>
      <c r="B16" s="305"/>
      <c r="C16" s="305"/>
      <c r="D16" s="305"/>
      <c r="E16" s="305"/>
      <c r="F16" s="306"/>
    </row>
    <row r="17" spans="1:6">
      <c r="A17" s="147" t="s">
        <v>19</v>
      </c>
      <c r="B17" s="148" t="s">
        <v>20</v>
      </c>
      <c r="C17" s="13"/>
      <c r="D17" s="14"/>
      <c r="E17" s="149"/>
      <c r="F17" s="150"/>
    </row>
    <row r="18" spans="1:6" ht="15">
      <c r="A18" s="15">
        <v>1.1000000000000001</v>
      </c>
      <c r="B18" s="151" t="s">
        <v>21</v>
      </c>
      <c r="C18" s="15" t="s">
        <v>22</v>
      </c>
      <c r="D18" s="16">
        <v>96.01</v>
      </c>
      <c r="E18" s="17">
        <v>7000</v>
      </c>
      <c r="F18" s="150">
        <f>PRODUCT(D18,E18)</f>
        <v>672070</v>
      </c>
    </row>
    <row r="19" spans="1:6" ht="15">
      <c r="A19" s="15">
        <v>1.2</v>
      </c>
      <c r="B19" s="151" t="s">
        <v>23</v>
      </c>
      <c r="C19" s="15" t="s">
        <v>22</v>
      </c>
      <c r="D19" s="16">
        <v>81.78</v>
      </c>
      <c r="E19" s="17">
        <v>7000</v>
      </c>
      <c r="F19" s="150">
        <f t="shared" ref="F19:F31" si="0">PRODUCT(D19,E19)</f>
        <v>572460</v>
      </c>
    </row>
    <row r="20" spans="1:6" ht="15">
      <c r="A20" s="15">
        <v>1.3</v>
      </c>
      <c r="B20" s="151" t="s">
        <v>24</v>
      </c>
      <c r="C20" s="15" t="s">
        <v>22</v>
      </c>
      <c r="D20" s="16">
        <v>117.34</v>
      </c>
      <c r="E20" s="17">
        <v>5000</v>
      </c>
      <c r="F20" s="150">
        <f t="shared" si="0"/>
        <v>586700</v>
      </c>
    </row>
    <row r="21" spans="1:6" ht="26.45">
      <c r="A21" s="15">
        <v>1.4</v>
      </c>
      <c r="B21" s="151" t="s">
        <v>25</v>
      </c>
      <c r="C21" s="15" t="s">
        <v>22</v>
      </c>
      <c r="D21" s="16">
        <v>336.6</v>
      </c>
      <c r="E21" s="17">
        <v>12000</v>
      </c>
      <c r="F21" s="150">
        <f t="shared" si="0"/>
        <v>4039200.0000000005</v>
      </c>
    </row>
    <row r="22" spans="1:6" ht="26.45">
      <c r="A22" s="15">
        <v>1.5</v>
      </c>
      <c r="B22" s="151" t="s">
        <v>26</v>
      </c>
      <c r="C22" s="15" t="s">
        <v>22</v>
      </c>
      <c r="D22" s="16">
        <v>14.45</v>
      </c>
      <c r="E22" s="17">
        <v>120000</v>
      </c>
      <c r="F22" s="150">
        <f t="shared" si="0"/>
        <v>1734000</v>
      </c>
    </row>
    <row r="23" spans="1:6" ht="26.45">
      <c r="A23" s="15">
        <v>1.6</v>
      </c>
      <c r="B23" s="151" t="s">
        <v>27</v>
      </c>
      <c r="C23" s="15" t="s">
        <v>22</v>
      </c>
      <c r="D23" s="16">
        <v>22.03</v>
      </c>
      <c r="E23" s="17">
        <v>190000</v>
      </c>
      <c r="F23" s="150">
        <f t="shared" si="0"/>
        <v>4185700</v>
      </c>
    </row>
    <row r="24" spans="1:6" ht="39.6">
      <c r="A24" s="15">
        <v>1.7</v>
      </c>
      <c r="B24" s="151" t="s">
        <v>28</v>
      </c>
      <c r="C24" s="15" t="s">
        <v>22</v>
      </c>
      <c r="D24" s="16">
        <v>5.0199999999999996</v>
      </c>
      <c r="E24" s="17">
        <v>190000</v>
      </c>
      <c r="F24" s="150">
        <f t="shared" si="0"/>
        <v>953799.99999999988</v>
      </c>
    </row>
    <row r="25" spans="1:6" ht="26.45">
      <c r="A25" s="15">
        <v>1.8</v>
      </c>
      <c r="B25" s="151" t="s">
        <v>29</v>
      </c>
      <c r="C25" s="15" t="s">
        <v>22</v>
      </c>
      <c r="D25" s="16">
        <v>5.37</v>
      </c>
      <c r="E25" s="17">
        <v>190000</v>
      </c>
      <c r="F25" s="150">
        <f t="shared" si="0"/>
        <v>1020300</v>
      </c>
    </row>
    <row r="26" spans="1:6" ht="26.45">
      <c r="A26" s="15">
        <v>1.9</v>
      </c>
      <c r="B26" s="151" t="s">
        <v>30</v>
      </c>
      <c r="C26" s="15" t="s">
        <v>22</v>
      </c>
      <c r="D26" s="16">
        <v>2.35</v>
      </c>
      <c r="E26" s="156">
        <v>190000</v>
      </c>
      <c r="F26" s="150">
        <f t="shared" si="0"/>
        <v>446500</v>
      </c>
    </row>
    <row r="27" spans="1:6" ht="26.45">
      <c r="A27" s="15">
        <v>2</v>
      </c>
      <c r="B27" s="151" t="s">
        <v>31</v>
      </c>
      <c r="C27" s="15" t="s">
        <v>17</v>
      </c>
      <c r="D27" s="16">
        <v>184.6</v>
      </c>
      <c r="E27" s="17">
        <v>12500</v>
      </c>
      <c r="F27" s="150">
        <f t="shared" si="0"/>
        <v>2307500</v>
      </c>
    </row>
    <row r="28" spans="1:6" ht="26.45">
      <c r="A28" s="15">
        <v>2.1</v>
      </c>
      <c r="B28" s="151" t="s">
        <v>32</v>
      </c>
      <c r="C28" s="15" t="s">
        <v>22</v>
      </c>
      <c r="D28" s="16">
        <v>31.39</v>
      </c>
      <c r="E28" s="17">
        <v>190000</v>
      </c>
      <c r="F28" s="150">
        <f t="shared" si="0"/>
        <v>5964100</v>
      </c>
    </row>
    <row r="29" spans="1:6" ht="52.9">
      <c r="A29" s="15">
        <v>2.2000000000000002</v>
      </c>
      <c r="B29" s="151" t="s">
        <v>33</v>
      </c>
      <c r="C29" s="15" t="s">
        <v>22</v>
      </c>
      <c r="D29" s="16">
        <v>97.24</v>
      </c>
      <c r="E29" s="17">
        <v>120000</v>
      </c>
      <c r="F29" s="150">
        <f t="shared" si="0"/>
        <v>11668800</v>
      </c>
    </row>
    <row r="30" spans="1:6" ht="39.6">
      <c r="A30" s="15">
        <v>2.2999999999999998</v>
      </c>
      <c r="B30" s="151" t="s">
        <v>34</v>
      </c>
      <c r="C30" s="15" t="s">
        <v>22</v>
      </c>
      <c r="D30" s="16">
        <v>5.39</v>
      </c>
      <c r="E30" s="17">
        <v>150000</v>
      </c>
      <c r="F30" s="150">
        <f t="shared" si="0"/>
        <v>808500</v>
      </c>
    </row>
    <row r="31" spans="1:6" ht="39.6">
      <c r="A31" s="15">
        <v>2.4</v>
      </c>
      <c r="B31" s="151" t="s">
        <v>35</v>
      </c>
      <c r="C31" s="15" t="s">
        <v>17</v>
      </c>
      <c r="D31" s="16">
        <v>748</v>
      </c>
      <c r="E31" s="17">
        <v>2500</v>
      </c>
      <c r="F31" s="150">
        <f t="shared" si="0"/>
        <v>1870000</v>
      </c>
    </row>
    <row r="32" spans="1:6">
      <c r="A32" s="15"/>
      <c r="B32" s="18" t="s">
        <v>36</v>
      </c>
      <c r="C32" s="15"/>
      <c r="D32" s="19"/>
      <c r="E32" s="17"/>
      <c r="F32" s="107">
        <f>SUM(F18:F31)</f>
        <v>36829630</v>
      </c>
    </row>
    <row r="33" spans="1:6" ht="15.6">
      <c r="A33" s="307"/>
      <c r="B33" s="308"/>
      <c r="C33" s="308"/>
      <c r="D33" s="308"/>
      <c r="E33" s="308"/>
      <c r="F33" s="309"/>
    </row>
    <row r="34" spans="1:6">
      <c r="A34" s="147" t="s">
        <v>37</v>
      </c>
      <c r="B34" s="148" t="s">
        <v>38</v>
      </c>
      <c r="C34" s="152"/>
      <c r="D34" s="153"/>
      <c r="E34" s="17"/>
      <c r="F34" s="154"/>
    </row>
    <row r="35" spans="1:6" ht="39.6">
      <c r="A35" s="41">
        <v>2.1</v>
      </c>
      <c r="B35" s="151" t="s">
        <v>39</v>
      </c>
      <c r="C35" s="15" t="s">
        <v>22</v>
      </c>
      <c r="D35" s="155">
        <v>26.010600000000007</v>
      </c>
      <c r="E35" s="156">
        <v>190000</v>
      </c>
      <c r="F35" s="150">
        <f>PRODUCT(D35,E35)</f>
        <v>4942014.0000000009</v>
      </c>
    </row>
    <row r="36" spans="1:6" ht="26.45">
      <c r="A36" s="41">
        <v>2.2000000000000002</v>
      </c>
      <c r="B36" s="151" t="s">
        <v>40</v>
      </c>
      <c r="C36" s="15" t="s">
        <v>22</v>
      </c>
      <c r="D36" s="155">
        <v>2.7720000000000007</v>
      </c>
      <c r="E36" s="156">
        <v>150000</v>
      </c>
      <c r="F36" s="150">
        <f t="shared" ref="F36:F44" si="1">PRODUCT(D36,E36)</f>
        <v>415800.00000000012</v>
      </c>
    </row>
    <row r="37" spans="1:6" ht="39.6">
      <c r="A37" s="41">
        <v>2.2999999999999998</v>
      </c>
      <c r="B37" s="151" t="s">
        <v>41</v>
      </c>
      <c r="C37" s="15" t="s">
        <v>22</v>
      </c>
      <c r="D37" s="155">
        <v>16.5</v>
      </c>
      <c r="E37" s="156">
        <v>190000</v>
      </c>
      <c r="F37" s="150">
        <f t="shared" si="1"/>
        <v>3135000</v>
      </c>
    </row>
    <row r="38" spans="1:6" ht="39.6">
      <c r="A38" s="41">
        <v>2.4</v>
      </c>
      <c r="B38" s="151" t="s">
        <v>42</v>
      </c>
      <c r="C38" s="15" t="s">
        <v>22</v>
      </c>
      <c r="D38" s="155">
        <v>18.079999999999998</v>
      </c>
      <c r="E38" s="156">
        <v>190000</v>
      </c>
      <c r="F38" s="150">
        <f t="shared" si="1"/>
        <v>3435199.9999999995</v>
      </c>
    </row>
    <row r="39" spans="1:6" ht="26.45">
      <c r="A39" s="41">
        <v>2.5</v>
      </c>
      <c r="B39" s="151" t="s">
        <v>43</v>
      </c>
      <c r="C39" s="15" t="s">
        <v>22</v>
      </c>
      <c r="D39" s="155">
        <v>45.947330000000001</v>
      </c>
      <c r="E39" s="156">
        <v>190000</v>
      </c>
      <c r="F39" s="150">
        <f t="shared" si="1"/>
        <v>8729992.6999999993</v>
      </c>
    </row>
    <row r="40" spans="1:6" ht="26.45">
      <c r="A40" s="41">
        <v>2.6</v>
      </c>
      <c r="B40" s="151" t="s">
        <v>44</v>
      </c>
      <c r="C40" s="15" t="s">
        <v>17</v>
      </c>
      <c r="D40" s="155">
        <v>42.900000000000006</v>
      </c>
      <c r="E40" s="156">
        <v>45000</v>
      </c>
      <c r="F40" s="150">
        <f t="shared" si="1"/>
        <v>1930500.0000000002</v>
      </c>
    </row>
    <row r="41" spans="1:6" ht="26.45">
      <c r="A41" s="41">
        <v>2.7</v>
      </c>
      <c r="B41" s="151" t="s">
        <v>45</v>
      </c>
      <c r="C41" s="15" t="s">
        <v>22</v>
      </c>
      <c r="D41" s="155">
        <v>38.874000000000009</v>
      </c>
      <c r="E41" s="156">
        <v>150000</v>
      </c>
      <c r="F41" s="150">
        <f t="shared" si="1"/>
        <v>5831100.0000000019</v>
      </c>
    </row>
    <row r="42" spans="1:6" ht="26.45">
      <c r="A42" s="41">
        <v>2.8</v>
      </c>
      <c r="B42" s="151" t="s">
        <v>46</v>
      </c>
      <c r="C42" s="15" t="s">
        <v>22</v>
      </c>
      <c r="D42" s="155">
        <v>6.4812000000000012</v>
      </c>
      <c r="E42" s="156">
        <v>150000</v>
      </c>
      <c r="F42" s="150">
        <f t="shared" si="1"/>
        <v>972180.00000000023</v>
      </c>
    </row>
    <row r="43" spans="1:6" ht="26.45">
      <c r="A43" s="41">
        <v>2.9</v>
      </c>
      <c r="B43" s="151" t="s">
        <v>47</v>
      </c>
      <c r="C43" s="15" t="s">
        <v>22</v>
      </c>
      <c r="D43" s="155">
        <v>43.25200000000001</v>
      </c>
      <c r="E43" s="156">
        <v>190000</v>
      </c>
      <c r="F43" s="150">
        <f t="shared" si="1"/>
        <v>8217880.0000000019</v>
      </c>
    </row>
    <row r="44" spans="1:6" ht="26.45">
      <c r="A44" s="72">
        <v>2.1</v>
      </c>
      <c r="B44" s="151" t="s">
        <v>48</v>
      </c>
      <c r="C44" s="15" t="s">
        <v>22</v>
      </c>
      <c r="D44" s="155">
        <v>1.5675000000000001</v>
      </c>
      <c r="E44" s="17">
        <v>200000</v>
      </c>
      <c r="F44" s="150">
        <f t="shared" si="1"/>
        <v>313500</v>
      </c>
    </row>
    <row r="45" spans="1:6">
      <c r="A45" s="42"/>
      <c r="B45" s="18" t="s">
        <v>49</v>
      </c>
      <c r="C45" s="43"/>
      <c r="D45" s="16"/>
      <c r="E45" s="44"/>
      <c r="F45" s="40">
        <f>SUM(F35:F44)</f>
        <v>37923166.700000003</v>
      </c>
    </row>
    <row r="46" spans="1:6">
      <c r="A46" s="316"/>
      <c r="B46" s="317"/>
      <c r="C46" s="317"/>
      <c r="D46" s="317"/>
      <c r="E46" s="317"/>
      <c r="F46" s="318"/>
    </row>
    <row r="47" spans="1:6">
      <c r="A47" s="43" t="s">
        <v>50</v>
      </c>
      <c r="B47" s="97" t="s">
        <v>51</v>
      </c>
      <c r="C47" s="43"/>
      <c r="D47" s="46"/>
      <c r="E47" s="44"/>
      <c r="F47" s="39"/>
    </row>
    <row r="48" spans="1:6">
      <c r="A48" s="36">
        <v>3.1</v>
      </c>
      <c r="B48" s="47" t="s">
        <v>52</v>
      </c>
      <c r="C48" s="15" t="s">
        <v>17</v>
      </c>
      <c r="D48" s="16">
        <v>1505.8</v>
      </c>
      <c r="E48" s="17">
        <v>10500</v>
      </c>
      <c r="F48" s="48">
        <f>PRODUCT(D48,E48)</f>
        <v>15810900</v>
      </c>
    </row>
    <row r="49" spans="1:6">
      <c r="A49" s="36">
        <v>3.2</v>
      </c>
      <c r="B49" s="47" t="s">
        <v>53</v>
      </c>
      <c r="C49" s="15" t="s">
        <v>17</v>
      </c>
      <c r="D49" s="16">
        <v>120.71</v>
      </c>
      <c r="E49" s="17">
        <v>6000</v>
      </c>
      <c r="F49" s="48">
        <f t="shared" ref="F49:F54" si="2">PRODUCT(D49,E49)</f>
        <v>724260</v>
      </c>
    </row>
    <row r="50" spans="1:6">
      <c r="A50" s="36">
        <v>3.3</v>
      </c>
      <c r="B50" s="47" t="s">
        <v>54</v>
      </c>
      <c r="C50" s="15" t="s">
        <v>17</v>
      </c>
      <c r="D50" s="16">
        <v>59.19</v>
      </c>
      <c r="E50" s="17">
        <v>14000</v>
      </c>
      <c r="F50" s="48">
        <f t="shared" si="2"/>
        <v>828660</v>
      </c>
    </row>
    <row r="51" spans="1:6" ht="66">
      <c r="A51" s="36">
        <v>3.4</v>
      </c>
      <c r="B51" s="38" t="s">
        <v>55</v>
      </c>
      <c r="C51" s="49" t="s">
        <v>17</v>
      </c>
      <c r="D51" s="49">
        <v>841.8</v>
      </c>
      <c r="E51" s="17">
        <v>5500</v>
      </c>
      <c r="F51" s="48">
        <f t="shared" si="2"/>
        <v>4629900</v>
      </c>
    </row>
    <row r="52" spans="1:6" ht="52.9">
      <c r="A52" s="36">
        <v>3.5</v>
      </c>
      <c r="B52" s="38" t="s">
        <v>56</v>
      </c>
      <c r="C52" s="49" t="s">
        <v>17</v>
      </c>
      <c r="D52" s="16">
        <v>1990.71</v>
      </c>
      <c r="E52" s="17">
        <v>5500</v>
      </c>
      <c r="F52" s="48">
        <f t="shared" si="2"/>
        <v>10948905</v>
      </c>
    </row>
    <row r="53" spans="1:6" ht="66">
      <c r="A53" s="36">
        <v>3.6</v>
      </c>
      <c r="B53" s="38" t="s">
        <v>57</v>
      </c>
      <c r="C53" s="49" t="s">
        <v>17</v>
      </c>
      <c r="D53" s="49">
        <v>188.5</v>
      </c>
      <c r="E53" s="17">
        <v>6000</v>
      </c>
      <c r="F53" s="48">
        <f t="shared" si="2"/>
        <v>1131000</v>
      </c>
    </row>
    <row r="54" spans="1:6">
      <c r="A54" s="36">
        <v>3.7</v>
      </c>
      <c r="B54" s="38" t="s">
        <v>58</v>
      </c>
      <c r="C54" s="49" t="s">
        <v>59</v>
      </c>
      <c r="D54" s="49">
        <v>52</v>
      </c>
      <c r="E54" s="17">
        <v>3000</v>
      </c>
      <c r="F54" s="48">
        <f t="shared" si="2"/>
        <v>156000</v>
      </c>
    </row>
    <row r="55" spans="1:6">
      <c r="A55" s="45"/>
      <c r="B55" s="18" t="s">
        <v>60</v>
      </c>
      <c r="C55" s="43"/>
      <c r="D55" s="50"/>
      <c r="E55" s="44"/>
      <c r="F55" s="40">
        <f>SUM(F48:F54)</f>
        <v>34229625</v>
      </c>
    </row>
    <row r="56" spans="1:6">
      <c r="A56" s="316"/>
      <c r="B56" s="317"/>
      <c r="C56" s="317"/>
      <c r="D56" s="317"/>
      <c r="E56" s="317"/>
      <c r="F56" s="318"/>
    </row>
    <row r="57" spans="1:6">
      <c r="A57" s="43" t="s">
        <v>61</v>
      </c>
      <c r="B57" s="97" t="s">
        <v>62</v>
      </c>
      <c r="C57" s="43"/>
      <c r="D57" s="46"/>
      <c r="E57" s="44"/>
      <c r="F57" s="39"/>
    </row>
    <row r="58" spans="1:6">
      <c r="A58" s="157">
        <v>4.0999999999999996</v>
      </c>
      <c r="B58" s="55" t="s">
        <v>63</v>
      </c>
      <c r="C58" s="43"/>
      <c r="D58" s="37"/>
      <c r="E58" s="44"/>
      <c r="F58" s="40"/>
    </row>
    <row r="59" spans="1:6">
      <c r="A59" s="51" t="s">
        <v>64</v>
      </c>
      <c r="B59" s="119" t="s">
        <v>65</v>
      </c>
      <c r="C59" s="41" t="s">
        <v>66</v>
      </c>
      <c r="D59" s="37">
        <v>23.08</v>
      </c>
      <c r="E59" s="53">
        <v>15000</v>
      </c>
      <c r="F59" s="53">
        <f>PRODUCT(D59,E59)</f>
        <v>346200</v>
      </c>
    </row>
    <row r="60" spans="1:6">
      <c r="A60" s="51" t="s">
        <v>67</v>
      </c>
      <c r="B60" s="38" t="s">
        <v>68</v>
      </c>
      <c r="C60" s="41" t="s">
        <v>66</v>
      </c>
      <c r="D60" s="37">
        <v>515.24</v>
      </c>
      <c r="E60" s="53">
        <v>13400</v>
      </c>
      <c r="F60" s="53">
        <f>PRODUCT(D60,E60)</f>
        <v>6904216</v>
      </c>
    </row>
    <row r="61" spans="1:6">
      <c r="A61" s="157">
        <v>4.2</v>
      </c>
      <c r="B61" s="55" t="s">
        <v>69</v>
      </c>
      <c r="C61" s="43"/>
      <c r="D61" s="37"/>
      <c r="E61" s="44"/>
      <c r="F61" s="40"/>
    </row>
    <row r="62" spans="1:6" ht="26.45">
      <c r="A62" s="51" t="s">
        <v>70</v>
      </c>
      <c r="B62" s="38" t="s">
        <v>71</v>
      </c>
      <c r="C62" s="49" t="s">
        <v>17</v>
      </c>
      <c r="D62" s="37">
        <v>454.12</v>
      </c>
      <c r="E62" s="53">
        <v>14500</v>
      </c>
      <c r="F62" s="53">
        <f>PRODUCT(D62,E62)</f>
        <v>6584740</v>
      </c>
    </row>
    <row r="63" spans="1:6">
      <c r="A63" s="51" t="s">
        <v>72</v>
      </c>
      <c r="B63" s="38" t="s">
        <v>73</v>
      </c>
      <c r="C63" s="49" t="s">
        <v>17</v>
      </c>
      <c r="D63" s="37"/>
      <c r="E63" s="53">
        <v>9000</v>
      </c>
      <c r="F63" s="53">
        <f>PRODUCT(D63,E63)</f>
        <v>9000</v>
      </c>
    </row>
    <row r="64" spans="1:6">
      <c r="A64" s="157">
        <v>4.3</v>
      </c>
      <c r="B64" s="55" t="s">
        <v>74</v>
      </c>
      <c r="C64" s="43"/>
      <c r="D64" s="37"/>
      <c r="E64" s="44"/>
      <c r="F64" s="40"/>
    </row>
    <row r="65" spans="1:6" ht="26.45">
      <c r="A65" s="51" t="s">
        <v>75</v>
      </c>
      <c r="B65" s="38" t="s">
        <v>76</v>
      </c>
      <c r="C65" s="49" t="s">
        <v>17</v>
      </c>
      <c r="D65" s="37">
        <v>200.11</v>
      </c>
      <c r="E65" s="53">
        <v>24000</v>
      </c>
      <c r="F65" s="53">
        <f>PRODUCT(D65,E65)</f>
        <v>4802640</v>
      </c>
    </row>
    <row r="66" spans="1:6">
      <c r="A66" s="51"/>
      <c r="B66" s="18" t="s">
        <v>77</v>
      </c>
      <c r="C66" s="41"/>
      <c r="D66" s="52"/>
      <c r="E66" s="53"/>
      <c r="F66" s="76">
        <f>SUM(F59:F65)</f>
        <v>18646796</v>
      </c>
    </row>
    <row r="67" spans="1:6">
      <c r="A67" s="319"/>
      <c r="B67" s="320"/>
      <c r="C67" s="320"/>
      <c r="D67" s="320"/>
      <c r="E67" s="320"/>
      <c r="F67" s="321"/>
    </row>
    <row r="68" spans="1:6">
      <c r="A68" s="54" t="s">
        <v>78</v>
      </c>
      <c r="B68" s="97" t="s">
        <v>79</v>
      </c>
      <c r="C68" s="43"/>
      <c r="D68" s="50"/>
      <c r="E68" s="44"/>
      <c r="F68" s="40"/>
    </row>
    <row r="69" spans="1:6">
      <c r="A69" s="13">
        <v>5.0999999999999996</v>
      </c>
      <c r="B69" s="55" t="s">
        <v>80</v>
      </c>
      <c r="C69" s="56"/>
      <c r="D69" s="52"/>
      <c r="E69" s="57"/>
      <c r="F69" s="58"/>
    </row>
    <row r="70" spans="1:6" ht="39.6">
      <c r="A70" s="51" t="s">
        <v>81</v>
      </c>
      <c r="B70" s="59" t="s">
        <v>82</v>
      </c>
      <c r="C70" s="41"/>
      <c r="D70" s="52"/>
      <c r="E70" s="53"/>
      <c r="F70" s="53"/>
    </row>
    <row r="71" spans="1:6">
      <c r="A71" s="51"/>
      <c r="B71" s="60" t="s">
        <v>83</v>
      </c>
      <c r="C71" s="41" t="s">
        <v>59</v>
      </c>
      <c r="D71" s="52">
        <v>3</v>
      </c>
      <c r="E71" s="53">
        <f>1.9*3*120000</f>
        <v>683999.99999999988</v>
      </c>
      <c r="F71" s="53">
        <f>PRODUCT(D71,E71)</f>
        <v>2051999.9999999995</v>
      </c>
    </row>
    <row r="72" spans="1:6">
      <c r="A72" s="51"/>
      <c r="B72" s="60"/>
      <c r="C72" s="41"/>
      <c r="D72" s="52"/>
      <c r="E72" s="53"/>
      <c r="F72" s="53"/>
    </row>
    <row r="73" spans="1:6">
      <c r="A73" s="13"/>
      <c r="B73" s="61" t="s">
        <v>84</v>
      </c>
      <c r="C73" s="13"/>
      <c r="D73" s="62"/>
      <c r="E73" s="63"/>
      <c r="F73" s="64">
        <f>F71</f>
        <v>2051999.9999999995</v>
      </c>
    </row>
    <row r="74" spans="1:6">
      <c r="A74" s="13"/>
      <c r="B74" s="61"/>
      <c r="C74" s="13"/>
      <c r="D74" s="62"/>
      <c r="E74" s="63"/>
      <c r="F74" s="65"/>
    </row>
    <row r="75" spans="1:6">
      <c r="A75" s="13">
        <v>5.2</v>
      </c>
      <c r="B75" s="66" t="s">
        <v>85</v>
      </c>
      <c r="C75" s="67"/>
      <c r="D75" s="52"/>
      <c r="E75" s="57"/>
      <c r="F75" s="57"/>
    </row>
    <row r="76" spans="1:6">
      <c r="A76" s="68"/>
      <c r="B76" s="66"/>
      <c r="C76" s="67"/>
      <c r="D76" s="52"/>
      <c r="E76" s="57"/>
      <c r="F76" s="57"/>
    </row>
    <row r="77" spans="1:6" ht="26.45">
      <c r="A77" s="51" t="s">
        <v>86</v>
      </c>
      <c r="B77" s="59" t="s">
        <v>87</v>
      </c>
      <c r="C77" s="41"/>
      <c r="D77" s="52"/>
      <c r="E77" s="53"/>
      <c r="F77" s="53"/>
    </row>
    <row r="78" spans="1:6">
      <c r="A78" s="51"/>
      <c r="B78" s="60" t="s">
        <v>88</v>
      </c>
      <c r="C78" s="41" t="s">
        <v>59</v>
      </c>
      <c r="D78" s="52">
        <v>1</v>
      </c>
      <c r="E78" s="53">
        <v>75000</v>
      </c>
      <c r="F78" s="53">
        <f>PRODUCT(D78,E78)</f>
        <v>75000</v>
      </c>
    </row>
    <row r="79" spans="1:6">
      <c r="A79" s="51"/>
      <c r="B79" s="60" t="s">
        <v>89</v>
      </c>
      <c r="C79" s="41" t="s">
        <v>59</v>
      </c>
      <c r="D79" s="52">
        <v>11</v>
      </c>
      <c r="E79" s="53">
        <v>90000</v>
      </c>
      <c r="F79" s="53">
        <f>PRODUCT(D79,E79)</f>
        <v>990000</v>
      </c>
    </row>
    <row r="80" spans="1:6">
      <c r="A80" s="51"/>
      <c r="B80" s="60" t="s">
        <v>90</v>
      </c>
      <c r="C80" s="41" t="s">
        <v>59</v>
      </c>
      <c r="D80" s="52">
        <v>16</v>
      </c>
      <c r="E80" s="53">
        <v>105000</v>
      </c>
      <c r="F80" s="53">
        <f>PRODUCT(D80,E80)</f>
        <v>1680000</v>
      </c>
    </row>
    <row r="81" spans="1:6">
      <c r="A81" s="51"/>
      <c r="B81" s="60" t="s">
        <v>91</v>
      </c>
      <c r="C81" s="41" t="s">
        <v>59</v>
      </c>
      <c r="D81" s="52">
        <v>1</v>
      </c>
      <c r="E81" s="53">
        <v>120000</v>
      </c>
      <c r="F81" s="53">
        <f>PRODUCT(D81,E81)</f>
        <v>120000</v>
      </c>
    </row>
    <row r="82" spans="1:6" ht="26.45">
      <c r="A82" s="51" t="s">
        <v>92</v>
      </c>
      <c r="B82" s="59" t="s">
        <v>93</v>
      </c>
      <c r="C82" s="41"/>
      <c r="D82" s="52"/>
      <c r="E82" s="53"/>
      <c r="F82" s="53"/>
    </row>
    <row r="83" spans="1:6">
      <c r="A83" s="51"/>
      <c r="B83" s="60" t="s">
        <v>94</v>
      </c>
      <c r="C83" s="41" t="s">
        <v>59</v>
      </c>
      <c r="D83" s="52">
        <v>1</v>
      </c>
      <c r="E83" s="53">
        <v>150000</v>
      </c>
      <c r="F83" s="53">
        <f>PRODUCT(D83,E83)</f>
        <v>150000</v>
      </c>
    </row>
    <row r="84" spans="1:6" ht="26.45">
      <c r="A84" s="51" t="s">
        <v>95</v>
      </c>
      <c r="B84" s="38" t="s">
        <v>96</v>
      </c>
      <c r="C84" s="41"/>
      <c r="D84" s="52"/>
      <c r="E84" s="53"/>
      <c r="F84" s="53"/>
    </row>
    <row r="85" spans="1:6" ht="21" customHeight="1">
      <c r="A85" s="51"/>
      <c r="B85" s="60" t="s">
        <v>90</v>
      </c>
      <c r="C85" s="41" t="s">
        <v>59</v>
      </c>
      <c r="D85" s="52" t="s">
        <v>97</v>
      </c>
      <c r="E85" s="53">
        <v>180000</v>
      </c>
      <c r="F85" s="53" t="s">
        <v>97</v>
      </c>
    </row>
    <row r="86" spans="1:6" ht="26.45">
      <c r="A86" s="51" t="s">
        <v>98</v>
      </c>
      <c r="B86" s="38" t="s">
        <v>99</v>
      </c>
      <c r="C86" s="41"/>
      <c r="D86" s="52"/>
      <c r="E86" s="53"/>
      <c r="F86" s="53"/>
    </row>
    <row r="87" spans="1:6">
      <c r="A87" s="51"/>
      <c r="B87" s="60" t="s">
        <v>100</v>
      </c>
      <c r="C87" s="41" t="s">
        <v>59</v>
      </c>
      <c r="D87" s="52">
        <v>2</v>
      </c>
      <c r="E87" s="53">
        <f>0.5*2.2*70000</f>
        <v>77000</v>
      </c>
      <c r="F87" s="53">
        <f>PRODUCT(D87,E87)</f>
        <v>154000</v>
      </c>
    </row>
    <row r="88" spans="1:6">
      <c r="A88" s="51"/>
      <c r="B88" s="60" t="s">
        <v>101</v>
      </c>
      <c r="C88" s="41" t="s">
        <v>59</v>
      </c>
      <c r="D88" s="52">
        <v>2</v>
      </c>
      <c r="E88" s="53">
        <f>0.75*2.2*70000</f>
        <v>115500.00000000001</v>
      </c>
      <c r="F88" s="53">
        <f>PRODUCT(D88,E88)</f>
        <v>231000.00000000003</v>
      </c>
    </row>
    <row r="89" spans="1:6" ht="26.45">
      <c r="A89" s="51" t="s">
        <v>102</v>
      </c>
      <c r="B89" s="38" t="s">
        <v>103</v>
      </c>
      <c r="C89" s="41"/>
      <c r="D89" s="52"/>
      <c r="E89" s="53"/>
      <c r="F89" s="53"/>
    </row>
    <row r="90" spans="1:6">
      <c r="A90" s="51"/>
      <c r="B90" s="60" t="s">
        <v>104</v>
      </c>
      <c r="C90" s="41" t="s">
        <v>59</v>
      </c>
      <c r="D90" s="52">
        <v>2</v>
      </c>
      <c r="E90" s="53">
        <f>0.5*0.65*70000</f>
        <v>22750</v>
      </c>
      <c r="F90" s="53">
        <f>PRODUCT(D90,E90)</f>
        <v>45500</v>
      </c>
    </row>
    <row r="91" spans="1:6">
      <c r="A91" s="51"/>
      <c r="B91" s="60" t="s">
        <v>105</v>
      </c>
      <c r="C91" s="41" t="s">
        <v>59</v>
      </c>
      <c r="D91" s="52">
        <v>2</v>
      </c>
      <c r="E91" s="53">
        <f>0.75*0.65*70000</f>
        <v>34125</v>
      </c>
      <c r="F91" s="53">
        <f>PRODUCT(D91,E91)</f>
        <v>68250</v>
      </c>
    </row>
    <row r="92" spans="1:6" ht="26.45">
      <c r="A92" s="51" t="s">
        <v>106</v>
      </c>
      <c r="B92" s="38" t="s">
        <v>107</v>
      </c>
      <c r="C92" s="41"/>
      <c r="D92" s="52"/>
      <c r="E92" s="53"/>
      <c r="F92" s="53"/>
    </row>
    <row r="93" spans="1:6">
      <c r="A93" s="51"/>
      <c r="B93" s="60" t="s">
        <v>108</v>
      </c>
      <c r="C93" s="41" t="s">
        <v>59</v>
      </c>
      <c r="D93" s="52">
        <v>4</v>
      </c>
      <c r="E93" s="53">
        <f>0.95*2.2*70000</f>
        <v>146300</v>
      </c>
      <c r="F93" s="53">
        <f t="shared" ref="F93:F99" si="3">PRODUCT(D93,E93)</f>
        <v>585200</v>
      </c>
    </row>
    <row r="94" spans="1:6">
      <c r="A94" s="51"/>
      <c r="B94" s="60" t="s">
        <v>91</v>
      </c>
      <c r="C94" s="41" t="s">
        <v>59</v>
      </c>
      <c r="D94" s="52">
        <v>2</v>
      </c>
      <c r="E94" s="53">
        <f>1*2.2*70000</f>
        <v>154000</v>
      </c>
      <c r="F94" s="53">
        <f t="shared" si="3"/>
        <v>308000</v>
      </c>
    </row>
    <row r="95" spans="1:6">
      <c r="A95" s="51"/>
      <c r="B95" s="60" t="s">
        <v>109</v>
      </c>
      <c r="C95" s="41" t="s">
        <v>59</v>
      </c>
      <c r="D95" s="52">
        <v>5</v>
      </c>
      <c r="E95" s="53">
        <f>1.15*2.2*70000</f>
        <v>177100</v>
      </c>
      <c r="F95" s="53">
        <f t="shared" si="3"/>
        <v>885500</v>
      </c>
    </row>
    <row r="96" spans="1:6">
      <c r="A96" s="51"/>
      <c r="B96" s="60" t="s">
        <v>110</v>
      </c>
      <c r="C96" s="41" t="s">
        <v>59</v>
      </c>
      <c r="D96" s="52">
        <v>6</v>
      </c>
      <c r="E96" s="53">
        <f>1.25*2.2*70000</f>
        <v>192500</v>
      </c>
      <c r="F96" s="53">
        <f t="shared" si="3"/>
        <v>1155000</v>
      </c>
    </row>
    <row r="97" spans="1:6">
      <c r="A97" s="51"/>
      <c r="B97" s="60" t="s">
        <v>94</v>
      </c>
      <c r="C97" s="41" t="s">
        <v>59</v>
      </c>
      <c r="D97" s="52">
        <v>2</v>
      </c>
      <c r="E97" s="53">
        <f>1.4*2.2*70000</f>
        <v>215600</v>
      </c>
      <c r="F97" s="53">
        <f t="shared" si="3"/>
        <v>431200</v>
      </c>
    </row>
    <row r="98" spans="1:6">
      <c r="A98" s="51"/>
      <c r="B98" s="60" t="s">
        <v>111</v>
      </c>
      <c r="C98" s="41" t="s">
        <v>59</v>
      </c>
      <c r="D98" s="52">
        <v>1</v>
      </c>
      <c r="E98" s="53">
        <f>1.45*2.2*70000</f>
        <v>223300</v>
      </c>
      <c r="F98" s="53">
        <f t="shared" si="3"/>
        <v>223300</v>
      </c>
    </row>
    <row r="99" spans="1:6">
      <c r="A99" s="51"/>
      <c r="B99" s="60" t="s">
        <v>112</v>
      </c>
      <c r="C99" s="41" t="s">
        <v>59</v>
      </c>
      <c r="D99" s="52">
        <v>3</v>
      </c>
      <c r="E99" s="53">
        <f>1.55*2.2*70000</f>
        <v>238700.00000000003</v>
      </c>
      <c r="F99" s="53">
        <f t="shared" si="3"/>
        <v>716100.00000000012</v>
      </c>
    </row>
    <row r="100" spans="1:6" ht="26.45">
      <c r="A100" s="51" t="s">
        <v>113</v>
      </c>
      <c r="B100" s="38" t="s">
        <v>114</v>
      </c>
      <c r="C100" s="41"/>
      <c r="D100" s="52"/>
      <c r="E100" s="53"/>
      <c r="F100" s="53"/>
    </row>
    <row r="101" spans="1:6">
      <c r="A101" s="51"/>
      <c r="B101" s="60" t="s">
        <v>115</v>
      </c>
      <c r="C101" s="41" t="s">
        <v>59</v>
      </c>
      <c r="D101" s="52">
        <v>4</v>
      </c>
      <c r="E101" s="53">
        <f>0.95*0.65*70000</f>
        <v>43224.999999999993</v>
      </c>
      <c r="F101" s="53">
        <f t="shared" ref="F101:F107" si="4">PRODUCT(D101,E101)</f>
        <v>172899.99999999997</v>
      </c>
    </row>
    <row r="102" spans="1:6">
      <c r="A102" s="51"/>
      <c r="B102" s="60" t="s">
        <v>116</v>
      </c>
      <c r="C102" s="41" t="s">
        <v>59</v>
      </c>
      <c r="D102" s="52">
        <v>2</v>
      </c>
      <c r="E102" s="53">
        <f>1*0.65*70000</f>
        <v>45500</v>
      </c>
      <c r="F102" s="53">
        <f t="shared" si="4"/>
        <v>91000</v>
      </c>
    </row>
    <row r="103" spans="1:6">
      <c r="A103" s="51"/>
      <c r="B103" s="60" t="s">
        <v>117</v>
      </c>
      <c r="C103" s="41" t="s">
        <v>59</v>
      </c>
      <c r="D103" s="52">
        <v>5</v>
      </c>
      <c r="E103" s="53">
        <f>1.15*0.65*70000</f>
        <v>52324.999999999993</v>
      </c>
      <c r="F103" s="53">
        <f t="shared" si="4"/>
        <v>261624.99999999997</v>
      </c>
    </row>
    <row r="104" spans="1:6">
      <c r="A104" s="51"/>
      <c r="B104" s="60" t="s">
        <v>118</v>
      </c>
      <c r="C104" s="41" t="s">
        <v>59</v>
      </c>
      <c r="D104" s="52">
        <v>6</v>
      </c>
      <c r="E104" s="53">
        <f>1.25*0.65*70000</f>
        <v>56875</v>
      </c>
      <c r="F104" s="53">
        <f t="shared" si="4"/>
        <v>341250</v>
      </c>
    </row>
    <row r="105" spans="1:6">
      <c r="A105" s="51"/>
      <c r="B105" s="60" t="s">
        <v>119</v>
      </c>
      <c r="C105" s="41" t="s">
        <v>59</v>
      </c>
      <c r="D105" s="52">
        <v>2</v>
      </c>
      <c r="E105" s="53">
        <f>1.4*0.65*70000</f>
        <v>63699.999999999993</v>
      </c>
      <c r="F105" s="53">
        <f t="shared" si="4"/>
        <v>127399.99999999999</v>
      </c>
    </row>
    <row r="106" spans="1:6">
      <c r="A106" s="51"/>
      <c r="B106" s="60" t="s">
        <v>120</v>
      </c>
      <c r="C106" s="41" t="s">
        <v>59</v>
      </c>
      <c r="D106" s="52">
        <v>1</v>
      </c>
      <c r="E106" s="53">
        <f>1.45*0.65*70000</f>
        <v>65975</v>
      </c>
      <c r="F106" s="53">
        <f t="shared" si="4"/>
        <v>65975</v>
      </c>
    </row>
    <row r="107" spans="1:6">
      <c r="A107" s="51"/>
      <c r="B107" s="60" t="s">
        <v>121</v>
      </c>
      <c r="C107" s="41" t="s">
        <v>59</v>
      </c>
      <c r="D107" s="52">
        <v>3</v>
      </c>
      <c r="E107" s="53">
        <f>1.55*0.65*70000</f>
        <v>70525</v>
      </c>
      <c r="F107" s="53">
        <f t="shared" si="4"/>
        <v>211575</v>
      </c>
    </row>
    <row r="108" spans="1:6">
      <c r="A108" s="51"/>
      <c r="B108" s="38"/>
      <c r="C108" s="41"/>
      <c r="D108" s="52"/>
      <c r="E108" s="53"/>
      <c r="F108" s="53"/>
    </row>
    <row r="109" spans="1:6">
      <c r="A109" s="68"/>
      <c r="B109" s="61" t="s">
        <v>122</v>
      </c>
      <c r="C109" s="15"/>
      <c r="D109" s="52"/>
      <c r="E109" s="69"/>
      <c r="F109" s="64">
        <f>SUM(F78:F107)</f>
        <v>9089775</v>
      </c>
    </row>
    <row r="110" spans="1:6">
      <c r="A110" s="68"/>
      <c r="B110" s="68"/>
      <c r="C110" s="15"/>
      <c r="D110" s="52"/>
      <c r="E110" s="69"/>
      <c r="F110" s="64"/>
    </row>
    <row r="111" spans="1:6">
      <c r="A111" s="13">
        <v>5.3</v>
      </c>
      <c r="B111" s="66" t="s">
        <v>123</v>
      </c>
      <c r="C111" s="67"/>
      <c r="D111" s="52"/>
      <c r="E111" s="57"/>
      <c r="F111" s="57"/>
    </row>
    <row r="112" spans="1:6">
      <c r="A112" s="68"/>
      <c r="B112" s="66"/>
      <c r="C112" s="67"/>
      <c r="D112" s="52"/>
      <c r="E112" s="57"/>
      <c r="F112" s="57"/>
    </row>
    <row r="113" spans="1:6" ht="26.45">
      <c r="A113" s="67" t="s">
        <v>124</v>
      </c>
      <c r="B113" s="70" t="s">
        <v>125</v>
      </c>
      <c r="C113" s="71"/>
      <c r="D113" s="72"/>
      <c r="E113" s="53"/>
      <c r="F113" s="53"/>
    </row>
    <row r="114" spans="1:6">
      <c r="A114" s="67"/>
      <c r="B114" s="60" t="s">
        <v>126</v>
      </c>
      <c r="C114" s="41" t="s">
        <v>59</v>
      </c>
      <c r="D114" s="52">
        <v>1</v>
      </c>
      <c r="E114" s="53">
        <f>0.6*0.7*60000</f>
        <v>25200</v>
      </c>
      <c r="F114" s="53">
        <f>PRODUCT(D114,E114)</f>
        <v>25200</v>
      </c>
    </row>
    <row r="115" spans="1:6">
      <c r="A115" s="67"/>
      <c r="B115" s="60" t="s">
        <v>127</v>
      </c>
      <c r="C115" s="41" t="s">
        <v>59</v>
      </c>
      <c r="D115" s="52">
        <v>17</v>
      </c>
      <c r="E115" s="53">
        <f>0.7*0.7*60000</f>
        <v>29399.999999999996</v>
      </c>
      <c r="F115" s="53">
        <f>PRODUCT(D115,E115)</f>
        <v>499799.99999999994</v>
      </c>
    </row>
    <row r="116" spans="1:6">
      <c r="A116" s="67"/>
      <c r="B116" s="60" t="s">
        <v>128</v>
      </c>
      <c r="C116" s="41" t="s">
        <v>59</v>
      </c>
      <c r="D116" s="52">
        <v>2</v>
      </c>
      <c r="E116" s="53">
        <f>0.8*1.2*60000</f>
        <v>57600</v>
      </c>
      <c r="F116" s="53">
        <f>PRODUCT(D116,E116)</f>
        <v>115200</v>
      </c>
    </row>
    <row r="117" spans="1:6">
      <c r="A117" s="67"/>
      <c r="B117" s="60" t="s">
        <v>129</v>
      </c>
      <c r="C117" s="41" t="s">
        <v>59</v>
      </c>
      <c r="D117" s="52">
        <v>4</v>
      </c>
      <c r="E117" s="53">
        <f>0.7*1.9*60000</f>
        <v>79799.999999999985</v>
      </c>
      <c r="F117" s="53">
        <f>PRODUCT(D117,E117)</f>
        <v>319199.99999999994</v>
      </c>
    </row>
    <row r="118" spans="1:6" ht="26.45">
      <c r="A118" s="67" t="s">
        <v>130</v>
      </c>
      <c r="B118" s="70" t="s">
        <v>131</v>
      </c>
      <c r="C118" s="71"/>
      <c r="D118" s="72"/>
      <c r="E118" s="53"/>
      <c r="F118" s="53"/>
    </row>
    <row r="119" spans="1:6">
      <c r="A119" s="67"/>
      <c r="B119" s="60" t="s">
        <v>132</v>
      </c>
      <c r="C119" s="41" t="s">
        <v>59</v>
      </c>
      <c r="D119" s="52">
        <v>14</v>
      </c>
      <c r="E119" s="53">
        <f>1.4*1.2*60000</f>
        <v>100800</v>
      </c>
      <c r="F119" s="53">
        <f>PRODUCT(D119,E119)</f>
        <v>1411200</v>
      </c>
    </row>
    <row r="120" spans="1:6" ht="39.6">
      <c r="A120" s="67" t="s">
        <v>133</v>
      </c>
      <c r="B120" s="70" t="s">
        <v>134</v>
      </c>
      <c r="C120" s="71"/>
      <c r="D120" s="72"/>
      <c r="E120" s="53"/>
      <c r="F120" s="53"/>
    </row>
    <row r="121" spans="1:6">
      <c r="A121" s="67"/>
      <c r="B121" s="60" t="s">
        <v>135</v>
      </c>
      <c r="C121" s="41" t="s">
        <v>59</v>
      </c>
      <c r="D121" s="52">
        <v>1</v>
      </c>
      <c r="E121" s="53">
        <f>2.5*1.2*60000</f>
        <v>180000</v>
      </c>
      <c r="F121" s="53">
        <f>PRODUCT(D121,E121)</f>
        <v>180000</v>
      </c>
    </row>
    <row r="122" spans="1:6" ht="39.6">
      <c r="A122" s="67" t="s">
        <v>136</v>
      </c>
      <c r="B122" s="70" t="s">
        <v>137</v>
      </c>
      <c r="C122" s="71"/>
      <c r="D122" s="72"/>
      <c r="E122" s="53"/>
      <c r="F122" s="53"/>
    </row>
    <row r="123" spans="1:6">
      <c r="A123" s="67"/>
      <c r="B123" s="60" t="s">
        <v>138</v>
      </c>
      <c r="C123" s="41" t="s">
        <v>59</v>
      </c>
      <c r="D123" s="52">
        <v>2</v>
      </c>
      <c r="E123" s="53">
        <f>1.18*1.2*75000</f>
        <v>106200</v>
      </c>
      <c r="F123" s="53">
        <f>PRODUCT(D123,E123)</f>
        <v>212400</v>
      </c>
    </row>
    <row r="124" spans="1:6">
      <c r="A124" s="67"/>
      <c r="B124" s="60" t="s">
        <v>139</v>
      </c>
      <c r="C124" s="41" t="s">
        <v>59</v>
      </c>
      <c r="D124" s="52">
        <v>2</v>
      </c>
      <c r="E124" s="53">
        <f>1.19*1.2*75000</f>
        <v>107100</v>
      </c>
      <c r="F124" s="53">
        <f>PRODUCT(D124,E124)</f>
        <v>214200</v>
      </c>
    </row>
    <row r="125" spans="1:6">
      <c r="A125" s="67"/>
      <c r="B125" s="60" t="s">
        <v>140</v>
      </c>
      <c r="C125" s="41" t="s">
        <v>59</v>
      </c>
      <c r="D125" s="52">
        <v>1</v>
      </c>
      <c r="E125" s="53">
        <f>1.5*1.2*75000</f>
        <v>135000</v>
      </c>
      <c r="F125" s="53">
        <f>PRODUCT(D125,E125)</f>
        <v>135000</v>
      </c>
    </row>
    <row r="126" spans="1:6">
      <c r="A126" s="67"/>
      <c r="B126" s="60" t="s">
        <v>141</v>
      </c>
      <c r="C126" s="41" t="s">
        <v>59</v>
      </c>
      <c r="D126" s="52">
        <v>1</v>
      </c>
      <c r="E126" s="53">
        <f>1.85*1.2*75000</f>
        <v>166500.00000000003</v>
      </c>
      <c r="F126" s="53">
        <f>PRODUCT(D126,E126)</f>
        <v>166500.00000000003</v>
      </c>
    </row>
    <row r="127" spans="1:6">
      <c r="A127" s="67"/>
      <c r="B127" s="60" t="s">
        <v>135</v>
      </c>
      <c r="C127" s="41" t="s">
        <v>59</v>
      </c>
      <c r="D127" s="52">
        <v>1</v>
      </c>
      <c r="E127" s="53">
        <f>2.5*1.2*75000</f>
        <v>225000</v>
      </c>
      <c r="F127" s="53">
        <f>PRODUCT(D127,E127)</f>
        <v>225000</v>
      </c>
    </row>
    <row r="128" spans="1:6" ht="26.45">
      <c r="A128" s="67" t="s">
        <v>142</v>
      </c>
      <c r="B128" s="70" t="s">
        <v>143</v>
      </c>
      <c r="C128" s="71"/>
      <c r="D128" s="72"/>
      <c r="E128" s="53"/>
      <c r="F128" s="53"/>
    </row>
    <row r="129" spans="1:6">
      <c r="A129" s="67"/>
      <c r="B129" s="60" t="s">
        <v>144</v>
      </c>
      <c r="C129" s="41" t="s">
        <v>59</v>
      </c>
      <c r="D129" s="52">
        <v>2</v>
      </c>
      <c r="E129" s="53">
        <f>1.25*1.2*60000</f>
        <v>90000</v>
      </c>
      <c r="F129" s="53">
        <f>PRODUCT(D129,E129)</f>
        <v>180000</v>
      </c>
    </row>
    <row r="130" spans="1:6">
      <c r="A130" s="67" t="s">
        <v>145</v>
      </c>
      <c r="B130" s="70" t="s">
        <v>146</v>
      </c>
      <c r="C130" s="71"/>
      <c r="D130" s="72"/>
      <c r="E130" s="53"/>
      <c r="F130" s="53"/>
    </row>
    <row r="131" spans="1:6">
      <c r="A131" s="67"/>
      <c r="B131" s="60" t="s">
        <v>147</v>
      </c>
      <c r="C131" s="41" t="s">
        <v>59</v>
      </c>
      <c r="D131" s="52">
        <v>1</v>
      </c>
      <c r="E131" s="53">
        <f>4.25*0.7*60000</f>
        <v>178499.99999999997</v>
      </c>
      <c r="F131" s="53">
        <f>PRODUCT(D131,E131)</f>
        <v>178499.99999999997</v>
      </c>
    </row>
    <row r="132" spans="1:6">
      <c r="A132" s="67" t="s">
        <v>148</v>
      </c>
      <c r="B132" s="70" t="s">
        <v>149</v>
      </c>
      <c r="C132" s="71"/>
      <c r="D132" s="72"/>
      <c r="E132" s="53"/>
      <c r="F132" s="53"/>
    </row>
    <row r="133" spans="1:6">
      <c r="A133" s="67"/>
      <c r="B133" s="60" t="s">
        <v>126</v>
      </c>
      <c r="C133" s="41" t="s">
        <v>59</v>
      </c>
      <c r="D133" s="52">
        <v>1</v>
      </c>
      <c r="E133" s="53">
        <f>0.6*0.7*60000</f>
        <v>25200</v>
      </c>
      <c r="F133" s="53">
        <f t="shared" ref="F133:F138" si="5">PRODUCT(D133,E133)</f>
        <v>25200</v>
      </c>
    </row>
    <row r="134" spans="1:6">
      <c r="A134" s="67"/>
      <c r="B134" s="60" t="s">
        <v>127</v>
      </c>
      <c r="C134" s="41" t="s">
        <v>59</v>
      </c>
      <c r="D134" s="52">
        <v>17</v>
      </c>
      <c r="E134" s="53">
        <f>0.7*0.7*60000</f>
        <v>29399.999999999996</v>
      </c>
      <c r="F134" s="53">
        <f t="shared" si="5"/>
        <v>499799.99999999994</v>
      </c>
    </row>
    <row r="135" spans="1:6">
      <c r="A135" s="67"/>
      <c r="B135" s="60" t="s">
        <v>128</v>
      </c>
      <c r="C135" s="41" t="s">
        <v>59</v>
      </c>
      <c r="D135" s="52">
        <v>2</v>
      </c>
      <c r="E135" s="53">
        <f>0.8*1.2*60000</f>
        <v>57600</v>
      </c>
      <c r="F135" s="53">
        <f t="shared" si="5"/>
        <v>115200</v>
      </c>
    </row>
    <row r="136" spans="1:6">
      <c r="A136" s="67"/>
      <c r="B136" s="60" t="s">
        <v>129</v>
      </c>
      <c r="C136" s="41" t="s">
        <v>59</v>
      </c>
      <c r="D136" s="52">
        <v>4</v>
      </c>
      <c r="E136" s="53">
        <f>0.7*1.9*60000</f>
        <v>79799.999999999985</v>
      </c>
      <c r="F136" s="53">
        <f t="shared" si="5"/>
        <v>319199.99999999994</v>
      </c>
    </row>
    <row r="137" spans="1:6">
      <c r="A137" s="67"/>
      <c r="B137" s="60" t="s">
        <v>132</v>
      </c>
      <c r="C137" s="41" t="s">
        <v>59</v>
      </c>
      <c r="D137" s="52">
        <v>14</v>
      </c>
      <c r="E137" s="53">
        <f>1.4*1.2*60000</f>
        <v>100800</v>
      </c>
      <c r="F137" s="53">
        <f t="shared" si="5"/>
        <v>1411200</v>
      </c>
    </row>
    <row r="138" spans="1:6">
      <c r="A138" s="67"/>
      <c r="B138" s="60" t="s">
        <v>135</v>
      </c>
      <c r="C138" s="41" t="s">
        <v>59</v>
      </c>
      <c r="D138" s="52">
        <v>1</v>
      </c>
      <c r="E138" s="53">
        <f>2.5*1.2*60000</f>
        <v>180000</v>
      </c>
      <c r="F138" s="53">
        <f t="shared" si="5"/>
        <v>180000</v>
      </c>
    </row>
    <row r="139" spans="1:6" ht="26.45">
      <c r="A139" s="67" t="s">
        <v>150</v>
      </c>
      <c r="B139" s="70" t="s">
        <v>151</v>
      </c>
      <c r="C139" s="71"/>
      <c r="D139" s="72"/>
      <c r="E139" s="53"/>
      <c r="F139" s="53"/>
    </row>
    <row r="140" spans="1:6">
      <c r="A140" s="67"/>
      <c r="B140" s="60" t="s">
        <v>152</v>
      </c>
      <c r="C140" s="41" t="s">
        <v>59</v>
      </c>
      <c r="D140" s="52">
        <v>3</v>
      </c>
      <c r="E140" s="53">
        <f>2*2*60000</f>
        <v>240000</v>
      </c>
      <c r="F140" s="53">
        <f>PRODUCT(D140,E140)</f>
        <v>720000</v>
      </c>
    </row>
    <row r="141" spans="1:6" ht="52.9">
      <c r="A141" s="67" t="s">
        <v>153</v>
      </c>
      <c r="B141" s="70" t="s">
        <v>154</v>
      </c>
      <c r="C141" s="71"/>
      <c r="D141" s="72"/>
      <c r="E141" s="53"/>
      <c r="F141" s="53"/>
    </row>
    <row r="142" spans="1:6">
      <c r="A142" s="67"/>
      <c r="B142" s="60" t="s">
        <v>155</v>
      </c>
      <c r="C142" s="41" t="s">
        <v>59</v>
      </c>
      <c r="D142" s="52">
        <v>1</v>
      </c>
      <c r="E142" s="53">
        <f>2.55*3.45*60000</f>
        <v>527850</v>
      </c>
      <c r="F142" s="53">
        <f>PRODUCT(D142,E142)</f>
        <v>527850</v>
      </c>
    </row>
    <row r="143" spans="1:6" ht="26.45">
      <c r="A143" s="67" t="s">
        <v>156</v>
      </c>
      <c r="B143" s="70" t="s">
        <v>157</v>
      </c>
      <c r="C143" s="71"/>
      <c r="D143" s="72"/>
      <c r="E143" s="53"/>
      <c r="F143" s="53"/>
    </row>
    <row r="144" spans="1:6">
      <c r="A144" s="67"/>
      <c r="B144" s="60" t="s">
        <v>90</v>
      </c>
      <c r="C144" s="41" t="s">
        <v>59</v>
      </c>
      <c r="D144" s="52">
        <v>1</v>
      </c>
      <c r="E144" s="53">
        <f>0.9*2.2*120000</f>
        <v>237600.00000000003</v>
      </c>
      <c r="F144" s="53">
        <f>PRODUCT(D144,E144)</f>
        <v>237600.00000000003</v>
      </c>
    </row>
    <row r="145" spans="1:6" ht="26.45">
      <c r="A145" s="67" t="s">
        <v>158</v>
      </c>
      <c r="B145" s="70" t="s">
        <v>159</v>
      </c>
      <c r="C145" s="71"/>
      <c r="D145" s="72"/>
      <c r="E145" s="53"/>
      <c r="F145" s="53"/>
    </row>
    <row r="146" spans="1:6">
      <c r="A146" s="67"/>
      <c r="B146" s="60" t="s">
        <v>160</v>
      </c>
      <c r="C146" s="41" t="s">
        <v>59</v>
      </c>
      <c r="D146" s="52">
        <v>10</v>
      </c>
      <c r="E146" s="53">
        <f>0.5*2.3*60000</f>
        <v>69000</v>
      </c>
      <c r="F146" s="53">
        <f>PRODUCT(D146,E146)</f>
        <v>690000</v>
      </c>
    </row>
    <row r="147" spans="1:6" ht="26.45">
      <c r="A147" s="67" t="s">
        <v>161</v>
      </c>
      <c r="B147" s="70" t="s">
        <v>162</v>
      </c>
      <c r="C147" s="71"/>
      <c r="D147" s="72"/>
      <c r="E147" s="53"/>
      <c r="F147" s="53"/>
    </row>
    <row r="148" spans="1:6">
      <c r="A148" s="146"/>
      <c r="B148" s="60" t="s">
        <v>163</v>
      </c>
      <c r="C148" s="41" t="s">
        <v>59</v>
      </c>
      <c r="D148" s="52">
        <v>4</v>
      </c>
      <c r="E148" s="53">
        <f>1.4*2.3*60000</f>
        <v>193199.99999999997</v>
      </c>
      <c r="F148" s="53">
        <f>PRODUCT(D148,E148)</f>
        <v>772799.99999999988</v>
      </c>
    </row>
    <row r="149" spans="1:6" ht="26.45">
      <c r="A149" s="67" t="s">
        <v>164</v>
      </c>
      <c r="B149" s="70" t="s">
        <v>165</v>
      </c>
      <c r="C149" s="71"/>
      <c r="D149" s="72"/>
      <c r="E149" s="53"/>
      <c r="F149" s="53"/>
    </row>
    <row r="150" spans="1:6">
      <c r="A150" s="67"/>
      <c r="B150" s="60" t="s">
        <v>166</v>
      </c>
      <c r="C150" s="41" t="s">
        <v>59</v>
      </c>
      <c r="D150" s="52">
        <v>2</v>
      </c>
      <c r="E150" s="53">
        <f>1.8*2.3*60000</f>
        <v>248399.99999999997</v>
      </c>
      <c r="F150" s="53">
        <f>PRODUCT(D150,E150)</f>
        <v>496799.99999999994</v>
      </c>
    </row>
    <row r="151" spans="1:6">
      <c r="A151" s="68"/>
      <c r="B151" s="61" t="s">
        <v>167</v>
      </c>
      <c r="C151" s="15"/>
      <c r="D151" s="52"/>
      <c r="E151" s="69"/>
      <c r="F151" s="64">
        <f>SUM(F114:F150)</f>
        <v>9857850</v>
      </c>
    </row>
    <row r="152" spans="1:6">
      <c r="A152" s="45"/>
      <c r="B152" s="18" t="s">
        <v>168</v>
      </c>
      <c r="C152" s="43"/>
      <c r="D152" s="50"/>
      <c r="E152" s="44"/>
      <c r="F152" s="64">
        <f>SUM(F151,F109,F73)</f>
        <v>20999625</v>
      </c>
    </row>
    <row r="153" spans="1:6">
      <c r="A153" s="316"/>
      <c r="B153" s="317"/>
      <c r="C153" s="317"/>
      <c r="D153" s="317"/>
      <c r="E153" s="317"/>
      <c r="F153" s="318"/>
    </row>
    <row r="154" spans="1:6">
      <c r="A154" s="68" t="s">
        <v>169</v>
      </c>
      <c r="B154" s="98" t="s">
        <v>170</v>
      </c>
      <c r="C154" s="56"/>
      <c r="D154" s="52"/>
      <c r="E154" s="57"/>
      <c r="F154" s="58"/>
    </row>
    <row r="155" spans="1:6" ht="26.45">
      <c r="A155" s="73">
        <v>6.1</v>
      </c>
      <c r="B155" s="74" t="s">
        <v>171</v>
      </c>
      <c r="C155" s="56" t="s">
        <v>17</v>
      </c>
      <c r="D155" s="52">
        <f>530.7+390*0.1</f>
        <v>569.70000000000005</v>
      </c>
      <c r="E155" s="57">
        <v>14000</v>
      </c>
      <c r="F155" s="53">
        <f>PRODUCT(D155,E155)</f>
        <v>7975800.0000000009</v>
      </c>
    </row>
    <row r="156" spans="1:6">
      <c r="A156" s="73">
        <v>6.2</v>
      </c>
      <c r="B156" s="74" t="s">
        <v>172</v>
      </c>
      <c r="C156" s="56" t="s">
        <v>17</v>
      </c>
      <c r="D156" s="52">
        <v>460.58</v>
      </c>
      <c r="E156" s="57">
        <v>12500</v>
      </c>
      <c r="F156" s="53">
        <f>PRODUCT(D156,E156)</f>
        <v>5757250</v>
      </c>
    </row>
    <row r="157" spans="1:6" ht="26.45">
      <c r="A157" s="73">
        <v>6.3</v>
      </c>
      <c r="B157" s="74" t="s">
        <v>173</v>
      </c>
      <c r="C157" s="56" t="s">
        <v>17</v>
      </c>
      <c r="D157" s="52">
        <v>178.6</v>
      </c>
      <c r="E157" s="57">
        <v>8000</v>
      </c>
      <c r="F157" s="53">
        <f>PRODUCT(D157,E157)</f>
        <v>1428800</v>
      </c>
    </row>
    <row r="158" spans="1:6">
      <c r="A158" s="73">
        <v>6.4</v>
      </c>
      <c r="B158" s="74" t="s">
        <v>174</v>
      </c>
      <c r="C158" s="56" t="s">
        <v>17</v>
      </c>
      <c r="D158" s="52">
        <v>427.16</v>
      </c>
      <c r="E158" s="57">
        <v>14000</v>
      </c>
      <c r="F158" s="53">
        <f>PRODUCT(D158,E158)</f>
        <v>5980240</v>
      </c>
    </row>
    <row r="159" spans="1:6">
      <c r="A159" s="56"/>
      <c r="B159" s="61" t="s">
        <v>175</v>
      </c>
      <c r="C159" s="56"/>
      <c r="D159" s="52"/>
      <c r="E159" s="75"/>
      <c r="F159" s="76">
        <f>SUM(F155:F158)</f>
        <v>21142090</v>
      </c>
    </row>
    <row r="160" spans="1:6">
      <c r="A160" s="310"/>
      <c r="B160" s="311"/>
      <c r="C160" s="311"/>
      <c r="D160" s="311"/>
      <c r="E160" s="311"/>
      <c r="F160" s="312"/>
    </row>
    <row r="161" spans="1:6">
      <c r="A161" s="68" t="s">
        <v>176</v>
      </c>
      <c r="B161" s="99" t="s">
        <v>177</v>
      </c>
      <c r="C161" s="74"/>
      <c r="D161" s="74"/>
      <c r="E161" s="74"/>
      <c r="F161" s="74"/>
    </row>
    <row r="162" spans="1:6" ht="30" customHeight="1">
      <c r="A162" s="73">
        <v>7.1</v>
      </c>
      <c r="B162" s="74" t="s">
        <v>178</v>
      </c>
      <c r="C162" s="56" t="s">
        <v>17</v>
      </c>
      <c r="D162" s="52">
        <f>D52</f>
        <v>1990.71</v>
      </c>
      <c r="E162" s="57">
        <v>8700</v>
      </c>
      <c r="F162" s="53">
        <f>PRODUCT(D162,E162)</f>
        <v>17319177</v>
      </c>
    </row>
    <row r="163" spans="1:6">
      <c r="A163" s="73">
        <v>7.2</v>
      </c>
      <c r="B163" s="74" t="s">
        <v>179</v>
      </c>
      <c r="C163" s="56" t="s">
        <v>17</v>
      </c>
      <c r="D163" s="52">
        <f>D158</f>
        <v>427.16</v>
      </c>
      <c r="E163" s="57">
        <v>5000</v>
      </c>
      <c r="F163" s="53">
        <f>PRODUCT(D163,E163)</f>
        <v>2135800</v>
      </c>
    </row>
    <row r="164" spans="1:6">
      <c r="A164" s="73">
        <v>7.3</v>
      </c>
      <c r="B164" s="74" t="s">
        <v>180</v>
      </c>
      <c r="C164" s="56" t="s">
        <v>17</v>
      </c>
      <c r="D164" s="52">
        <f>D51</f>
        <v>841.8</v>
      </c>
      <c r="E164" s="57">
        <v>15000</v>
      </c>
      <c r="F164" s="53">
        <f>PRODUCT(D164,E164)</f>
        <v>12627000</v>
      </c>
    </row>
    <row r="165" spans="1:6">
      <c r="A165" s="73">
        <v>7.4</v>
      </c>
      <c r="B165" s="74" t="s">
        <v>181</v>
      </c>
      <c r="C165" s="56" t="s">
        <v>17</v>
      </c>
      <c r="D165" s="52">
        <v>595.52</v>
      </c>
      <c r="E165" s="57">
        <v>5000</v>
      </c>
      <c r="F165" s="53">
        <f>PRODUCT(D165,E165)</f>
        <v>2977600</v>
      </c>
    </row>
    <row r="166" spans="1:6">
      <c r="A166" s="56"/>
      <c r="B166" s="61" t="s">
        <v>182</v>
      </c>
      <c r="C166" s="56"/>
      <c r="D166" s="52"/>
      <c r="E166" s="57"/>
      <c r="F166" s="64">
        <f>SUM(F162:F165)</f>
        <v>35059577</v>
      </c>
    </row>
    <row r="167" spans="1:6">
      <c r="A167" s="310"/>
      <c r="B167" s="311"/>
      <c r="C167" s="311"/>
      <c r="D167" s="311"/>
      <c r="E167" s="311"/>
      <c r="F167" s="312"/>
    </row>
    <row r="168" spans="1:6">
      <c r="A168" s="77" t="s">
        <v>183</v>
      </c>
      <c r="B168" s="100" t="s">
        <v>184</v>
      </c>
      <c r="C168" s="78"/>
      <c r="D168" s="79"/>
      <c r="E168" s="80"/>
      <c r="F168" s="80"/>
    </row>
    <row r="169" spans="1:6" ht="27">
      <c r="A169" s="86">
        <v>8.1</v>
      </c>
      <c r="B169" s="140" t="s">
        <v>185</v>
      </c>
      <c r="C169" s="86"/>
      <c r="D169" s="141"/>
      <c r="E169" s="61"/>
      <c r="F169" s="76"/>
    </row>
    <row r="170" spans="1:6">
      <c r="A170" s="81" t="s">
        <v>186</v>
      </c>
      <c r="B170" s="82" t="s">
        <v>187</v>
      </c>
      <c r="C170" s="81" t="s">
        <v>66</v>
      </c>
      <c r="D170" s="49">
        <v>150</v>
      </c>
      <c r="E170" s="144">
        <v>5500</v>
      </c>
      <c r="F170" s="53">
        <f>PRODUCT(D170,E170)</f>
        <v>825000</v>
      </c>
    </row>
    <row r="171" spans="1:6">
      <c r="A171" s="81" t="s">
        <v>188</v>
      </c>
      <c r="B171" s="82" t="s">
        <v>189</v>
      </c>
      <c r="C171" s="81" t="s">
        <v>59</v>
      </c>
      <c r="D171" s="49">
        <v>30</v>
      </c>
      <c r="E171" s="144">
        <v>17500</v>
      </c>
      <c r="F171" s="53">
        <f>PRODUCT(D171,E171)</f>
        <v>525000</v>
      </c>
    </row>
    <row r="172" spans="1:6">
      <c r="A172" s="81"/>
      <c r="B172" s="61" t="s">
        <v>190</v>
      </c>
      <c r="C172" s="81"/>
      <c r="D172" s="83"/>
      <c r="E172" s="57"/>
      <c r="F172" s="64">
        <f>SUM(F170:F171)</f>
        <v>1350000</v>
      </c>
    </row>
    <row r="173" spans="1:6">
      <c r="A173" s="81"/>
      <c r="B173" s="82"/>
      <c r="C173" s="81"/>
      <c r="D173" s="83"/>
      <c r="E173" s="57"/>
      <c r="F173" s="53"/>
    </row>
    <row r="174" spans="1:6" ht="40.15">
      <c r="A174" s="86">
        <v>8.1999999999999993</v>
      </c>
      <c r="B174" s="140" t="s">
        <v>191</v>
      </c>
      <c r="C174" s="134" t="s">
        <v>192</v>
      </c>
      <c r="D174" s="135"/>
      <c r="E174" s="57"/>
      <c r="F174" s="136"/>
    </row>
    <row r="175" spans="1:6">
      <c r="A175" s="81" t="s">
        <v>193</v>
      </c>
      <c r="B175" s="82" t="s">
        <v>194</v>
      </c>
      <c r="C175" s="81" t="s">
        <v>66</v>
      </c>
      <c r="D175" s="82">
        <v>26</v>
      </c>
      <c r="E175" s="57">
        <v>12500</v>
      </c>
      <c r="F175" s="53">
        <f>PRODUCT(D175,E175)</f>
        <v>325000</v>
      </c>
    </row>
    <row r="176" spans="1:6">
      <c r="A176" s="81" t="s">
        <v>195</v>
      </c>
      <c r="B176" s="82" t="s">
        <v>196</v>
      </c>
      <c r="C176" s="81" t="s">
        <v>66</v>
      </c>
      <c r="D176" s="82">
        <v>22</v>
      </c>
      <c r="E176" s="57">
        <v>9000</v>
      </c>
      <c r="F176" s="53">
        <f>PRODUCT(D176,E176)</f>
        <v>198000</v>
      </c>
    </row>
    <row r="177" spans="1:6">
      <c r="A177" s="81" t="s">
        <v>197</v>
      </c>
      <c r="B177" s="82" t="s">
        <v>198</v>
      </c>
      <c r="C177" s="81" t="s">
        <v>66</v>
      </c>
      <c r="D177" s="82">
        <v>0</v>
      </c>
      <c r="E177" s="57">
        <v>7500</v>
      </c>
      <c r="F177" s="53" t="s">
        <v>97</v>
      </c>
    </row>
    <row r="178" spans="1:6">
      <c r="A178" s="81" t="s">
        <v>199</v>
      </c>
      <c r="B178" s="82" t="s">
        <v>200</v>
      </c>
      <c r="C178" s="81" t="s">
        <v>66</v>
      </c>
      <c r="D178" s="82">
        <v>60</v>
      </c>
      <c r="E178" s="57">
        <v>5500</v>
      </c>
      <c r="F178" s="53">
        <f>PRODUCT(D178,E178)</f>
        <v>330000</v>
      </c>
    </row>
    <row r="179" spans="1:6">
      <c r="A179" s="81" t="s">
        <v>201</v>
      </c>
      <c r="B179" s="82" t="s">
        <v>202</v>
      </c>
      <c r="C179" s="81" t="s">
        <v>66</v>
      </c>
      <c r="D179" s="82">
        <v>12</v>
      </c>
      <c r="E179" s="57">
        <v>3500</v>
      </c>
      <c r="F179" s="53">
        <f>PRODUCT(D179,E179)</f>
        <v>42000</v>
      </c>
    </row>
    <row r="180" spans="1:6">
      <c r="A180" s="81" t="s">
        <v>203</v>
      </c>
      <c r="B180" s="82" t="s">
        <v>204</v>
      </c>
      <c r="C180" s="81" t="s">
        <v>66</v>
      </c>
      <c r="D180" s="82">
        <v>18</v>
      </c>
      <c r="E180" s="57">
        <v>2500</v>
      </c>
      <c r="F180" s="53">
        <f>PRODUCT(D180,E180)</f>
        <v>45000</v>
      </c>
    </row>
    <row r="181" spans="1:6" ht="15.6">
      <c r="A181" s="137"/>
      <c r="B181" s="61" t="s">
        <v>205</v>
      </c>
      <c r="C181" s="138" t="s">
        <v>192</v>
      </c>
      <c r="D181" s="139"/>
      <c r="E181" s="57"/>
      <c r="F181" s="64">
        <f>SUM(F175:F180)</f>
        <v>940000</v>
      </c>
    </row>
    <row r="182" spans="1:6">
      <c r="A182" s="81"/>
      <c r="B182" s="38"/>
      <c r="C182" s="81"/>
      <c r="D182" s="83"/>
      <c r="E182" s="57"/>
      <c r="F182" s="53"/>
    </row>
    <row r="183" spans="1:6" ht="15.6">
      <c r="A183" s="86">
        <v>8.3000000000000007</v>
      </c>
      <c r="B183" s="140" t="s">
        <v>206</v>
      </c>
      <c r="C183" s="142"/>
      <c r="D183" s="143"/>
      <c r="E183" s="57"/>
      <c r="F183" s="53"/>
    </row>
    <row r="184" spans="1:6" ht="40.15">
      <c r="A184" s="158" t="s">
        <v>207</v>
      </c>
      <c r="B184" s="140" t="s">
        <v>208</v>
      </c>
      <c r="C184" s="142"/>
      <c r="D184" s="143"/>
      <c r="E184" s="57"/>
      <c r="F184" s="53"/>
    </row>
    <row r="185" spans="1:6">
      <c r="A185" s="73" t="s">
        <v>209</v>
      </c>
      <c r="B185" s="82" t="s">
        <v>194</v>
      </c>
      <c r="C185" s="81" t="s">
        <v>210</v>
      </c>
      <c r="D185" s="82">
        <v>1</v>
      </c>
      <c r="E185" s="57">
        <v>1150000</v>
      </c>
      <c r="F185" s="53">
        <f>PRODUCT(D185,E185)</f>
        <v>1150000</v>
      </c>
    </row>
    <row r="186" spans="1:6">
      <c r="A186" s="81"/>
      <c r="B186" s="61" t="s">
        <v>211</v>
      </c>
      <c r="C186" s="81"/>
      <c r="D186" s="83"/>
      <c r="E186" s="57"/>
      <c r="F186" s="76">
        <f>F185</f>
        <v>1150000</v>
      </c>
    </row>
    <row r="187" spans="1:6">
      <c r="A187" s="81"/>
      <c r="B187" s="61" t="s">
        <v>212</v>
      </c>
      <c r="C187" s="84"/>
      <c r="D187" s="85"/>
      <c r="E187" s="57"/>
      <c r="F187" s="64">
        <f>SUM(F186,F181,F172)</f>
        <v>3440000</v>
      </c>
    </row>
    <row r="188" spans="1:6">
      <c r="A188" s="313"/>
      <c r="B188" s="314"/>
      <c r="C188" s="314"/>
      <c r="D188" s="314"/>
      <c r="E188" s="314"/>
      <c r="F188" s="315"/>
    </row>
    <row r="189" spans="1:6">
      <c r="A189" s="86" t="s">
        <v>213</v>
      </c>
      <c r="B189" s="88" t="s">
        <v>214</v>
      </c>
      <c r="C189" s="84"/>
      <c r="D189" s="85"/>
      <c r="E189" s="57"/>
      <c r="F189" s="87"/>
    </row>
    <row r="190" spans="1:6" ht="27">
      <c r="A190" s="86">
        <v>9.1</v>
      </c>
      <c r="B190" s="140" t="s">
        <v>215</v>
      </c>
      <c r="C190" s="84"/>
      <c r="D190" s="85"/>
      <c r="E190" s="57"/>
      <c r="F190" s="87"/>
    </row>
    <row r="191" spans="1:6" ht="27">
      <c r="A191" s="81" t="s">
        <v>216</v>
      </c>
      <c r="B191" s="82" t="s">
        <v>217</v>
      </c>
      <c r="C191" s="81" t="s">
        <v>59</v>
      </c>
      <c r="D191" s="49">
        <v>11</v>
      </c>
      <c r="E191" s="144">
        <v>185000</v>
      </c>
      <c r="F191" s="53">
        <f t="shared" ref="F191:F199" si="6">PRODUCT(D191,E191)</f>
        <v>2035000</v>
      </c>
    </row>
    <row r="192" spans="1:6">
      <c r="A192" s="81" t="s">
        <v>218</v>
      </c>
      <c r="B192" s="82" t="s">
        <v>219</v>
      </c>
      <c r="C192" s="84" t="s">
        <v>59</v>
      </c>
      <c r="D192" s="49">
        <v>9</v>
      </c>
      <c r="E192" s="144">
        <v>275000</v>
      </c>
      <c r="F192" s="53">
        <f t="shared" si="6"/>
        <v>2475000</v>
      </c>
    </row>
    <row r="193" spans="1:6">
      <c r="A193" s="81" t="s">
        <v>220</v>
      </c>
      <c r="B193" s="82" t="s">
        <v>221</v>
      </c>
      <c r="C193" s="84" t="s">
        <v>59</v>
      </c>
      <c r="D193" s="49">
        <v>1</v>
      </c>
      <c r="E193" s="144">
        <v>475000</v>
      </c>
      <c r="F193" s="53">
        <f t="shared" si="6"/>
        <v>475000</v>
      </c>
    </row>
    <row r="194" spans="1:6" ht="27">
      <c r="A194" s="81" t="s">
        <v>222</v>
      </c>
      <c r="B194" s="82" t="s">
        <v>223</v>
      </c>
      <c r="C194" s="84" t="s">
        <v>59</v>
      </c>
      <c r="D194" s="49">
        <v>9</v>
      </c>
      <c r="E194" s="144">
        <v>195000</v>
      </c>
      <c r="F194" s="53">
        <f t="shared" si="6"/>
        <v>1755000</v>
      </c>
    </row>
    <row r="195" spans="1:6">
      <c r="A195" s="81" t="s">
        <v>224</v>
      </c>
      <c r="B195" s="82" t="s">
        <v>225</v>
      </c>
      <c r="C195" s="84" t="s">
        <v>59</v>
      </c>
      <c r="D195" s="49">
        <v>2</v>
      </c>
      <c r="E195" s="144">
        <v>225000</v>
      </c>
      <c r="F195" s="53">
        <f t="shared" si="6"/>
        <v>450000</v>
      </c>
    </row>
    <row r="196" spans="1:6">
      <c r="A196" s="81" t="s">
        <v>226</v>
      </c>
      <c r="B196" s="82" t="s">
        <v>227</v>
      </c>
      <c r="C196" s="84" t="s">
        <v>59</v>
      </c>
      <c r="D196" s="49">
        <v>1</v>
      </c>
      <c r="E196" s="144">
        <v>175000</v>
      </c>
      <c r="F196" s="53">
        <f t="shared" si="6"/>
        <v>175000</v>
      </c>
    </row>
    <row r="197" spans="1:6">
      <c r="A197" s="81" t="s">
        <v>228</v>
      </c>
      <c r="B197" s="82" t="s">
        <v>229</v>
      </c>
      <c r="C197" s="84" t="s">
        <v>59</v>
      </c>
      <c r="D197" s="49">
        <v>1</v>
      </c>
      <c r="E197" s="144">
        <v>155000</v>
      </c>
      <c r="F197" s="53">
        <f t="shared" si="6"/>
        <v>155000</v>
      </c>
    </row>
    <row r="198" spans="1:6">
      <c r="A198" s="81" t="s">
        <v>230</v>
      </c>
      <c r="B198" s="82" t="s">
        <v>231</v>
      </c>
      <c r="C198" s="81" t="s">
        <v>59</v>
      </c>
      <c r="D198" s="49">
        <v>0</v>
      </c>
      <c r="E198" s="144">
        <v>175000</v>
      </c>
      <c r="F198" s="53">
        <f t="shared" si="6"/>
        <v>0</v>
      </c>
    </row>
    <row r="199" spans="1:6">
      <c r="A199" s="81" t="s">
        <v>232</v>
      </c>
      <c r="B199" s="82" t="s">
        <v>233</v>
      </c>
      <c r="C199" s="84" t="s">
        <v>59</v>
      </c>
      <c r="D199" s="145">
        <v>9</v>
      </c>
      <c r="E199" s="144">
        <v>17500</v>
      </c>
      <c r="F199" s="53">
        <f t="shared" si="6"/>
        <v>157500</v>
      </c>
    </row>
    <row r="200" spans="1:6">
      <c r="A200" s="86"/>
      <c r="B200" s="89" t="s">
        <v>234</v>
      </c>
      <c r="C200" s="90"/>
      <c r="D200" s="91"/>
      <c r="E200" s="57"/>
      <c r="F200" s="64">
        <f>SUM(F191:F199)</f>
        <v>7677500</v>
      </c>
    </row>
    <row r="201" spans="1:6">
      <c r="A201" s="86">
        <v>9.1999999999999993</v>
      </c>
      <c r="B201" s="88" t="s">
        <v>235</v>
      </c>
      <c r="C201" s="84"/>
      <c r="D201" s="85"/>
      <c r="E201" s="57"/>
      <c r="F201" s="87"/>
    </row>
    <row r="202" spans="1:6">
      <c r="A202" s="81" t="s">
        <v>236</v>
      </c>
      <c r="B202" s="82" t="s">
        <v>237</v>
      </c>
      <c r="C202" s="84" t="s">
        <v>59</v>
      </c>
      <c r="D202" s="145">
        <v>11</v>
      </c>
      <c r="E202" s="144">
        <v>21500</v>
      </c>
      <c r="F202" s="53">
        <f t="shared" ref="F202:F208" si="7">PRODUCT(D202,E202)</f>
        <v>236500</v>
      </c>
    </row>
    <row r="203" spans="1:6">
      <c r="A203" s="81" t="s">
        <v>238</v>
      </c>
      <c r="B203" s="82" t="s">
        <v>239</v>
      </c>
      <c r="C203" s="84" t="s">
        <v>59</v>
      </c>
      <c r="D203" s="145">
        <v>10</v>
      </c>
      <c r="E203" s="144">
        <v>8500</v>
      </c>
      <c r="F203" s="53">
        <f t="shared" si="7"/>
        <v>85000</v>
      </c>
    </row>
    <row r="204" spans="1:6">
      <c r="A204" s="81" t="s">
        <v>240</v>
      </c>
      <c r="B204" s="82" t="s">
        <v>241</v>
      </c>
      <c r="C204" s="84" t="s">
        <v>59</v>
      </c>
      <c r="D204" s="145">
        <f>+D203</f>
        <v>10</v>
      </c>
      <c r="E204" s="144">
        <v>7500</v>
      </c>
      <c r="F204" s="53">
        <f t="shared" si="7"/>
        <v>75000</v>
      </c>
    </row>
    <row r="205" spans="1:6">
      <c r="A205" s="81" t="s">
        <v>242</v>
      </c>
      <c r="B205" s="82" t="s">
        <v>243</v>
      </c>
      <c r="C205" s="84" t="s">
        <v>59</v>
      </c>
      <c r="D205" s="145">
        <v>11</v>
      </c>
      <c r="E205" s="144">
        <v>17500</v>
      </c>
      <c r="F205" s="53">
        <f t="shared" si="7"/>
        <v>192500</v>
      </c>
    </row>
    <row r="206" spans="1:6">
      <c r="A206" s="81" t="s">
        <v>244</v>
      </c>
      <c r="B206" s="82" t="s">
        <v>245</v>
      </c>
      <c r="C206" s="84" t="s">
        <v>59</v>
      </c>
      <c r="D206" s="145">
        <v>11</v>
      </c>
      <c r="E206" s="144">
        <v>12500</v>
      </c>
      <c r="F206" s="53">
        <f t="shared" si="7"/>
        <v>137500</v>
      </c>
    </row>
    <row r="207" spans="1:6">
      <c r="A207" s="81" t="s">
        <v>246</v>
      </c>
      <c r="B207" s="82" t="s">
        <v>247</v>
      </c>
      <c r="C207" s="84" t="s">
        <v>59</v>
      </c>
      <c r="D207" s="145">
        <v>11</v>
      </c>
      <c r="E207" s="144">
        <v>27500</v>
      </c>
      <c r="F207" s="53">
        <f t="shared" si="7"/>
        <v>302500</v>
      </c>
    </row>
    <row r="208" spans="1:6">
      <c r="A208" s="81" t="s">
        <v>248</v>
      </c>
      <c r="B208" s="82" t="s">
        <v>249</v>
      </c>
      <c r="C208" s="84" t="s">
        <v>59</v>
      </c>
      <c r="D208" s="145">
        <v>15</v>
      </c>
      <c r="E208" s="144">
        <v>12500</v>
      </c>
      <c r="F208" s="53">
        <f t="shared" si="7"/>
        <v>187500</v>
      </c>
    </row>
    <row r="209" spans="1:6">
      <c r="A209" s="86"/>
      <c r="B209" s="89" t="s">
        <v>250</v>
      </c>
      <c r="C209" s="90"/>
      <c r="D209" s="91"/>
      <c r="E209" s="57"/>
      <c r="F209" s="64">
        <f>SUM(F202:F208)</f>
        <v>1216500</v>
      </c>
    </row>
    <row r="210" spans="1:6">
      <c r="A210" s="81"/>
      <c r="B210" s="61" t="s">
        <v>251</v>
      </c>
      <c r="C210" s="84"/>
      <c r="D210" s="85"/>
      <c r="E210" s="57"/>
      <c r="F210" s="76">
        <f>SUM(F209,F200)</f>
        <v>8894000</v>
      </c>
    </row>
    <row r="211" spans="1:6">
      <c r="A211" s="23"/>
      <c r="B211" s="21"/>
      <c r="C211" s="24"/>
      <c r="D211" s="25"/>
      <c r="E211" s="20"/>
      <c r="F211" s="22"/>
    </row>
    <row r="212" spans="1:6" ht="26.45">
      <c r="A212" s="13" t="s">
        <v>252</v>
      </c>
      <c r="B212" s="59" t="s">
        <v>253</v>
      </c>
      <c r="C212" s="41"/>
      <c r="D212" s="93"/>
      <c r="E212" s="57"/>
      <c r="F212" s="94"/>
    </row>
    <row r="213" spans="1:6">
      <c r="A213" s="120"/>
      <c r="B213" s="34"/>
      <c r="C213" s="121"/>
      <c r="D213" s="93"/>
      <c r="E213" s="57"/>
      <c r="F213" s="94"/>
    </row>
    <row r="214" spans="1:6">
      <c r="A214" s="104">
        <v>10.1</v>
      </c>
      <c r="B214" s="59" t="s">
        <v>254</v>
      </c>
      <c r="C214" s="35"/>
      <c r="D214" s="122"/>
      <c r="E214" s="57"/>
      <c r="F214" s="123"/>
    </row>
    <row r="215" spans="1:6" ht="26.45">
      <c r="A215" s="41" t="s">
        <v>255</v>
      </c>
      <c r="B215" s="124" t="s">
        <v>256</v>
      </c>
      <c r="C215" s="72" t="s">
        <v>66</v>
      </c>
      <c r="D215" s="72">
        <v>50</v>
      </c>
      <c r="E215" s="57">
        <v>9000</v>
      </c>
      <c r="F215" s="53">
        <f t="shared" ref="F215:F224" si="8">PRODUCT(D215,E215)</f>
        <v>450000</v>
      </c>
    </row>
    <row r="216" spans="1:6" ht="105.6">
      <c r="A216" s="41" t="s">
        <v>257</v>
      </c>
      <c r="B216" s="124" t="s">
        <v>258</v>
      </c>
      <c r="C216" s="41" t="s">
        <v>12</v>
      </c>
      <c r="D216" s="72">
        <v>1</v>
      </c>
      <c r="E216" s="57">
        <v>4000000</v>
      </c>
      <c r="F216" s="53">
        <f t="shared" si="8"/>
        <v>4000000</v>
      </c>
    </row>
    <row r="217" spans="1:6" ht="28.5" customHeight="1">
      <c r="A217" s="41" t="s">
        <v>259</v>
      </c>
      <c r="B217" s="124" t="s">
        <v>260</v>
      </c>
      <c r="C217" s="41" t="s">
        <v>59</v>
      </c>
      <c r="D217" s="72">
        <v>1</v>
      </c>
      <c r="E217" s="57">
        <v>150000</v>
      </c>
      <c r="F217" s="53">
        <f t="shared" si="8"/>
        <v>150000</v>
      </c>
    </row>
    <row r="218" spans="1:6" ht="39.6">
      <c r="A218" s="41" t="s">
        <v>261</v>
      </c>
      <c r="B218" s="124" t="s">
        <v>262</v>
      </c>
      <c r="C218" s="41" t="s">
        <v>59</v>
      </c>
      <c r="D218" s="72">
        <v>1</v>
      </c>
      <c r="E218" s="57">
        <v>650000</v>
      </c>
      <c r="F218" s="53">
        <f t="shared" si="8"/>
        <v>650000</v>
      </c>
    </row>
    <row r="219" spans="1:6" ht="27.75" customHeight="1">
      <c r="A219" s="41"/>
      <c r="B219" s="124" t="s">
        <v>263</v>
      </c>
      <c r="C219" s="41" t="s">
        <v>59</v>
      </c>
      <c r="D219" s="72">
        <v>1</v>
      </c>
      <c r="E219" s="57">
        <v>750000</v>
      </c>
      <c r="F219" s="53">
        <f t="shared" si="8"/>
        <v>750000</v>
      </c>
    </row>
    <row r="220" spans="1:6" ht="66">
      <c r="A220" s="41"/>
      <c r="B220" s="124" t="s">
        <v>264</v>
      </c>
      <c r="C220" s="41" t="s">
        <v>12</v>
      </c>
      <c r="D220" s="72">
        <v>1</v>
      </c>
      <c r="E220" s="57">
        <v>3000000</v>
      </c>
      <c r="F220" s="53">
        <f t="shared" si="8"/>
        <v>3000000</v>
      </c>
    </row>
    <row r="221" spans="1:6" ht="39.6">
      <c r="A221" s="41"/>
      <c r="B221" s="124" t="s">
        <v>265</v>
      </c>
      <c r="C221" s="72" t="s">
        <v>59</v>
      </c>
      <c r="D221" s="72">
        <v>1</v>
      </c>
      <c r="E221" s="57">
        <v>2500000</v>
      </c>
      <c r="F221" s="53">
        <f t="shared" si="8"/>
        <v>2500000</v>
      </c>
    </row>
    <row r="222" spans="1:6" ht="26.45">
      <c r="A222" s="41"/>
      <c r="B222" s="124" t="s">
        <v>266</v>
      </c>
      <c r="C222" s="72" t="s">
        <v>59</v>
      </c>
      <c r="D222" s="72">
        <v>1</v>
      </c>
      <c r="E222" s="57">
        <v>125000</v>
      </c>
      <c r="F222" s="53">
        <f t="shared" si="8"/>
        <v>125000</v>
      </c>
    </row>
    <row r="223" spans="1:6" ht="26.45">
      <c r="A223" s="41"/>
      <c r="B223" s="124" t="s">
        <v>267</v>
      </c>
      <c r="C223" s="41" t="s">
        <v>12</v>
      </c>
      <c r="D223" s="72">
        <v>1</v>
      </c>
      <c r="E223" s="57">
        <v>250000</v>
      </c>
      <c r="F223" s="53">
        <f t="shared" si="8"/>
        <v>250000</v>
      </c>
    </row>
    <row r="224" spans="1:6" ht="26.45">
      <c r="A224" s="41"/>
      <c r="B224" s="124" t="s">
        <v>268</v>
      </c>
      <c r="C224" s="41" t="s">
        <v>12</v>
      </c>
      <c r="D224" s="72">
        <v>1</v>
      </c>
      <c r="E224" s="57">
        <v>250000</v>
      </c>
      <c r="F224" s="53">
        <f t="shared" si="8"/>
        <v>250000</v>
      </c>
    </row>
    <row r="225" spans="1:6">
      <c r="A225" s="121"/>
      <c r="B225" s="125" t="s">
        <v>269</v>
      </c>
      <c r="C225" s="41"/>
      <c r="D225" s="52"/>
      <c r="E225" s="57"/>
      <c r="F225" s="64">
        <f>SUM(F215:F224)</f>
        <v>12125000</v>
      </c>
    </row>
    <row r="226" spans="1:6">
      <c r="A226" s="104">
        <v>10.199999999999999</v>
      </c>
      <c r="B226" s="59" t="s">
        <v>270</v>
      </c>
      <c r="C226" s="41"/>
      <c r="D226" s="52"/>
      <c r="E226" s="57"/>
      <c r="F226" s="76"/>
    </row>
    <row r="227" spans="1:6" ht="52.9">
      <c r="A227" s="41" t="s">
        <v>271</v>
      </c>
      <c r="B227" s="124" t="s">
        <v>272</v>
      </c>
      <c r="C227" s="72" t="s">
        <v>12</v>
      </c>
      <c r="D227" s="72">
        <v>1</v>
      </c>
      <c r="E227" s="57">
        <v>4000000</v>
      </c>
      <c r="F227" s="53">
        <f t="shared" ref="F227:F233" si="9">PRODUCT(D227,E227)</f>
        <v>4000000</v>
      </c>
    </row>
    <row r="228" spans="1:6" ht="26.45">
      <c r="A228" s="41"/>
      <c r="B228" s="124" t="s">
        <v>273</v>
      </c>
      <c r="C228" s="72" t="s">
        <v>12</v>
      </c>
      <c r="D228" s="72">
        <v>1</v>
      </c>
      <c r="E228" s="57">
        <v>350000</v>
      </c>
      <c r="F228" s="53">
        <f t="shared" si="9"/>
        <v>350000</v>
      </c>
    </row>
    <row r="229" spans="1:6" ht="26.45">
      <c r="A229" s="41"/>
      <c r="B229" s="124" t="s">
        <v>274</v>
      </c>
      <c r="C229" s="72" t="s">
        <v>59</v>
      </c>
      <c r="D229" s="72">
        <v>1</v>
      </c>
      <c r="E229" s="57">
        <v>600000</v>
      </c>
      <c r="F229" s="53">
        <f t="shared" si="9"/>
        <v>600000</v>
      </c>
    </row>
    <row r="230" spans="1:6">
      <c r="A230" s="41"/>
      <c r="B230" s="124" t="s">
        <v>275</v>
      </c>
      <c r="C230" s="72" t="s">
        <v>59</v>
      </c>
      <c r="D230" s="72">
        <v>2</v>
      </c>
      <c r="E230" s="57">
        <v>650000</v>
      </c>
      <c r="F230" s="53">
        <f t="shared" si="9"/>
        <v>1300000</v>
      </c>
    </row>
    <row r="231" spans="1:6">
      <c r="A231" s="41"/>
      <c r="B231" s="124" t="s">
        <v>276</v>
      </c>
      <c r="C231" s="72" t="s">
        <v>59</v>
      </c>
      <c r="D231" s="72">
        <v>2</v>
      </c>
      <c r="E231" s="57">
        <v>200000</v>
      </c>
      <c r="F231" s="53">
        <f t="shared" si="9"/>
        <v>400000</v>
      </c>
    </row>
    <row r="232" spans="1:6" ht="26.45">
      <c r="A232" s="41"/>
      <c r="B232" s="124" t="s">
        <v>277</v>
      </c>
      <c r="C232" s="72" t="s">
        <v>59</v>
      </c>
      <c r="D232" s="72">
        <v>1</v>
      </c>
      <c r="E232" s="57">
        <v>850000</v>
      </c>
      <c r="F232" s="53">
        <f t="shared" si="9"/>
        <v>850000</v>
      </c>
    </row>
    <row r="233" spans="1:6" ht="26.45">
      <c r="A233" s="41"/>
      <c r="B233" s="124" t="s">
        <v>278</v>
      </c>
      <c r="C233" s="72" t="s">
        <v>59</v>
      </c>
      <c r="D233" s="72">
        <v>3</v>
      </c>
      <c r="E233" s="57">
        <v>650000</v>
      </c>
      <c r="F233" s="53">
        <f t="shared" si="9"/>
        <v>1950000</v>
      </c>
    </row>
    <row r="234" spans="1:6">
      <c r="A234" s="121"/>
      <c r="B234" s="125" t="s">
        <v>279</v>
      </c>
      <c r="C234" s="41"/>
      <c r="D234" s="52"/>
      <c r="E234" s="57"/>
      <c r="F234" s="64">
        <f>SUM(F227:F233)</f>
        <v>9450000</v>
      </c>
    </row>
    <row r="235" spans="1:6">
      <c r="A235" s="104">
        <v>10.3</v>
      </c>
      <c r="B235" s="59" t="s">
        <v>280</v>
      </c>
      <c r="C235" s="41"/>
      <c r="D235" s="52"/>
      <c r="E235" s="57"/>
      <c r="F235" s="53"/>
    </row>
    <row r="236" spans="1:6">
      <c r="A236" s="41" t="s">
        <v>281</v>
      </c>
      <c r="B236" s="124" t="s">
        <v>282</v>
      </c>
      <c r="C236" s="41" t="s">
        <v>59</v>
      </c>
      <c r="D236" s="72">
        <v>35</v>
      </c>
      <c r="E236" s="57">
        <v>14000</v>
      </c>
      <c r="F236" s="53">
        <f>PRODUCT(D236,E236)</f>
        <v>490000</v>
      </c>
    </row>
    <row r="237" spans="1:6" ht="26.45">
      <c r="A237" s="41"/>
      <c r="B237" s="124" t="s">
        <v>283</v>
      </c>
      <c r="C237" s="41" t="s">
        <v>59</v>
      </c>
      <c r="D237" s="72">
        <v>8</v>
      </c>
      <c r="E237" s="57">
        <v>15000</v>
      </c>
      <c r="F237" s="53">
        <f>PRODUCT(D237,E237)</f>
        <v>120000</v>
      </c>
    </row>
    <row r="238" spans="1:6" ht="26.45">
      <c r="A238" s="41"/>
      <c r="B238" s="124" t="s">
        <v>284</v>
      </c>
      <c r="C238" s="41" t="s">
        <v>59</v>
      </c>
      <c r="D238" s="72">
        <v>43</v>
      </c>
      <c r="E238" s="57">
        <v>20000</v>
      </c>
      <c r="F238" s="53">
        <f>PRODUCT(D238,E238)</f>
        <v>860000</v>
      </c>
    </row>
    <row r="239" spans="1:6">
      <c r="A239" s="41"/>
      <c r="B239" s="124" t="s">
        <v>285</v>
      </c>
      <c r="C239" s="41" t="s">
        <v>59</v>
      </c>
      <c r="D239" s="72">
        <v>11</v>
      </c>
      <c r="E239" s="57">
        <v>15000</v>
      </c>
      <c r="F239" s="53">
        <f>PRODUCT(D239,E239)</f>
        <v>165000</v>
      </c>
    </row>
    <row r="240" spans="1:6">
      <c r="A240" s="41"/>
      <c r="B240" s="125" t="s">
        <v>286</v>
      </c>
      <c r="C240" s="41"/>
      <c r="D240" s="72"/>
      <c r="E240" s="57"/>
      <c r="F240" s="64">
        <f>SUM(F236:F239)</f>
        <v>1635000</v>
      </c>
    </row>
    <row r="241" spans="1:6">
      <c r="A241" s="104">
        <v>10.4</v>
      </c>
      <c r="B241" s="59" t="s">
        <v>287</v>
      </c>
      <c r="C241" s="41"/>
      <c r="D241" s="52"/>
      <c r="E241" s="57"/>
      <c r="F241" s="53"/>
    </row>
    <row r="242" spans="1:6">
      <c r="A242" s="41" t="s">
        <v>288</v>
      </c>
      <c r="B242" s="124" t="s">
        <v>289</v>
      </c>
      <c r="C242" s="41" t="s">
        <v>59</v>
      </c>
      <c r="D242" s="72">
        <v>18</v>
      </c>
      <c r="E242" s="57">
        <v>7500</v>
      </c>
      <c r="F242" s="53">
        <f t="shared" ref="F242:F249" si="10">PRODUCT(D242,E242)</f>
        <v>135000</v>
      </c>
    </row>
    <row r="243" spans="1:6">
      <c r="A243" s="41"/>
      <c r="B243" s="124" t="s">
        <v>290</v>
      </c>
      <c r="C243" s="41" t="s">
        <v>59</v>
      </c>
      <c r="D243" s="72">
        <v>6</v>
      </c>
      <c r="E243" s="57">
        <v>7500</v>
      </c>
      <c r="F243" s="53">
        <f t="shared" si="10"/>
        <v>45000</v>
      </c>
    </row>
    <row r="244" spans="1:6">
      <c r="A244" s="41"/>
      <c r="B244" s="124" t="s">
        <v>291</v>
      </c>
      <c r="C244" s="41" t="s">
        <v>59</v>
      </c>
      <c r="D244" s="72">
        <v>16</v>
      </c>
      <c r="E244" s="57">
        <v>7500</v>
      </c>
      <c r="F244" s="53">
        <f t="shared" si="10"/>
        <v>120000</v>
      </c>
    </row>
    <row r="245" spans="1:6">
      <c r="A245" s="41"/>
      <c r="B245" s="124" t="s">
        <v>292</v>
      </c>
      <c r="C245" s="41" t="s">
        <v>59</v>
      </c>
      <c r="D245" s="72">
        <v>14</v>
      </c>
      <c r="E245" s="57">
        <v>7500</v>
      </c>
      <c r="F245" s="53">
        <f t="shared" si="10"/>
        <v>105000</v>
      </c>
    </row>
    <row r="246" spans="1:6">
      <c r="A246" s="41"/>
      <c r="B246" s="124" t="s">
        <v>293</v>
      </c>
      <c r="C246" s="41" t="s">
        <v>59</v>
      </c>
      <c r="D246" s="72">
        <v>7</v>
      </c>
      <c r="E246" s="57">
        <v>10000</v>
      </c>
      <c r="F246" s="53">
        <f t="shared" si="10"/>
        <v>70000</v>
      </c>
    </row>
    <row r="247" spans="1:6">
      <c r="A247" s="41"/>
      <c r="B247" s="124" t="s">
        <v>294</v>
      </c>
      <c r="C247" s="41" t="s">
        <v>59</v>
      </c>
      <c r="D247" s="72">
        <v>3</v>
      </c>
      <c r="E247" s="57">
        <v>7500</v>
      </c>
      <c r="F247" s="53">
        <f t="shared" si="10"/>
        <v>22500</v>
      </c>
    </row>
    <row r="248" spans="1:6" ht="26.45">
      <c r="A248" s="41"/>
      <c r="B248" s="124" t="s">
        <v>295</v>
      </c>
      <c r="C248" s="41" t="s">
        <v>59</v>
      </c>
      <c r="D248" s="72">
        <v>27</v>
      </c>
      <c r="E248" s="57">
        <v>25000</v>
      </c>
      <c r="F248" s="53">
        <f t="shared" si="10"/>
        <v>675000</v>
      </c>
    </row>
    <row r="249" spans="1:6">
      <c r="A249" s="41"/>
      <c r="B249" s="124" t="s">
        <v>296</v>
      </c>
      <c r="C249" s="41" t="s">
        <v>59</v>
      </c>
      <c r="D249" s="72">
        <v>2</v>
      </c>
      <c r="E249" s="57">
        <v>7500</v>
      </c>
      <c r="F249" s="53">
        <f t="shared" si="10"/>
        <v>15000</v>
      </c>
    </row>
    <row r="250" spans="1:6">
      <c r="A250" s="121"/>
      <c r="B250" s="125" t="s">
        <v>297</v>
      </c>
      <c r="C250" s="41"/>
      <c r="D250" s="52"/>
      <c r="E250" s="57"/>
      <c r="F250" s="64">
        <f>SUM(F242:F249)</f>
        <v>1187500</v>
      </c>
    </row>
    <row r="251" spans="1:6">
      <c r="A251" s="121"/>
      <c r="B251" s="35"/>
      <c r="C251" s="121"/>
      <c r="D251" s="93"/>
      <c r="E251" s="57"/>
      <c r="F251" s="126"/>
    </row>
    <row r="252" spans="1:6">
      <c r="A252" s="86">
        <v>10.5</v>
      </c>
      <c r="B252" s="127" t="s">
        <v>298</v>
      </c>
      <c r="C252" s="41"/>
      <c r="D252" s="52"/>
      <c r="E252" s="57"/>
      <c r="F252" s="64"/>
    </row>
    <row r="253" spans="1:6">
      <c r="A253" s="51" t="s">
        <v>299</v>
      </c>
      <c r="B253" s="95" t="s">
        <v>300</v>
      </c>
      <c r="C253" s="81" t="s">
        <v>59</v>
      </c>
      <c r="D253" s="72">
        <v>11</v>
      </c>
      <c r="E253" s="57">
        <v>550000</v>
      </c>
      <c r="F253" s="53">
        <f>PRODUCT(D253,E253)</f>
        <v>6050000</v>
      </c>
    </row>
    <row r="254" spans="1:6">
      <c r="A254" s="51" t="s">
        <v>301</v>
      </c>
      <c r="B254" s="95" t="s">
        <v>302</v>
      </c>
      <c r="C254" s="81" t="s">
        <v>59</v>
      </c>
      <c r="D254" s="72">
        <v>2</v>
      </c>
      <c r="E254" s="57">
        <v>750000</v>
      </c>
      <c r="F254" s="53">
        <f>PRODUCT(D254,E254)</f>
        <v>1500000</v>
      </c>
    </row>
    <row r="255" spans="1:6">
      <c r="A255" s="51" t="s">
        <v>303</v>
      </c>
      <c r="B255" s="38" t="s">
        <v>304</v>
      </c>
      <c r="C255" s="81" t="s">
        <v>59</v>
      </c>
      <c r="D255" s="72">
        <v>19</v>
      </c>
      <c r="E255" s="57">
        <v>65000</v>
      </c>
      <c r="F255" s="53">
        <f>PRODUCT(D255,E255)</f>
        <v>1235000</v>
      </c>
    </row>
    <row r="256" spans="1:6">
      <c r="A256" s="56"/>
      <c r="B256" s="125" t="s">
        <v>305</v>
      </c>
      <c r="C256" s="15"/>
      <c r="D256" s="128"/>
      <c r="E256" s="69"/>
      <c r="F256" s="64">
        <f>SUM(F253:F255)</f>
        <v>8785000</v>
      </c>
    </row>
    <row r="257" spans="1:6">
      <c r="A257" s="56"/>
      <c r="B257" s="125"/>
      <c r="C257" s="15"/>
      <c r="D257" s="128"/>
      <c r="E257" s="69"/>
      <c r="F257" s="64"/>
    </row>
    <row r="258" spans="1:6">
      <c r="A258" s="86">
        <v>10.6</v>
      </c>
      <c r="B258" s="127" t="s">
        <v>306</v>
      </c>
      <c r="C258" s="41"/>
      <c r="D258" s="52"/>
      <c r="E258" s="57"/>
      <c r="F258" s="64"/>
    </row>
    <row r="259" spans="1:6">
      <c r="A259" s="51" t="s">
        <v>307</v>
      </c>
      <c r="B259" s="95" t="s">
        <v>308</v>
      </c>
      <c r="C259" s="81" t="s">
        <v>59</v>
      </c>
      <c r="D259" s="96">
        <v>5</v>
      </c>
      <c r="E259" s="57">
        <v>50000</v>
      </c>
      <c r="F259" s="53">
        <f t="shared" ref="F259:F269" si="11">PRODUCT(D259,E259)</f>
        <v>250000</v>
      </c>
    </row>
    <row r="260" spans="1:6">
      <c r="A260" s="51" t="s">
        <v>309</v>
      </c>
      <c r="B260" s="95" t="s">
        <v>310</v>
      </c>
      <c r="C260" s="81" t="s">
        <v>59</v>
      </c>
      <c r="D260" s="96">
        <v>15</v>
      </c>
      <c r="E260" s="57">
        <v>30000</v>
      </c>
      <c r="F260" s="53">
        <f t="shared" si="11"/>
        <v>450000</v>
      </c>
    </row>
    <row r="261" spans="1:6">
      <c r="A261" s="51" t="s">
        <v>311</v>
      </c>
      <c r="B261" s="95" t="s">
        <v>312</v>
      </c>
      <c r="C261" s="81" t="s">
        <v>59</v>
      </c>
      <c r="D261" s="96">
        <v>1</v>
      </c>
      <c r="E261" s="57">
        <v>17500</v>
      </c>
      <c r="F261" s="53">
        <f t="shared" si="11"/>
        <v>17500</v>
      </c>
    </row>
    <row r="262" spans="1:6">
      <c r="A262" s="51" t="s">
        <v>313</v>
      </c>
      <c r="B262" s="95" t="s">
        <v>314</v>
      </c>
      <c r="C262" s="81" t="s">
        <v>59</v>
      </c>
      <c r="D262" s="96">
        <v>5</v>
      </c>
      <c r="E262" s="57">
        <v>17500</v>
      </c>
      <c r="F262" s="53">
        <f t="shared" si="11"/>
        <v>87500</v>
      </c>
    </row>
    <row r="263" spans="1:6">
      <c r="A263" s="51" t="s">
        <v>315</v>
      </c>
      <c r="B263" s="95" t="s">
        <v>316</v>
      </c>
      <c r="C263" s="81" t="s">
        <v>59</v>
      </c>
      <c r="D263" s="96">
        <v>1</v>
      </c>
      <c r="E263" s="57">
        <v>220000</v>
      </c>
      <c r="F263" s="53">
        <f t="shared" si="11"/>
        <v>220000</v>
      </c>
    </row>
    <row r="264" spans="1:6">
      <c r="A264" s="51" t="s">
        <v>317</v>
      </c>
      <c r="B264" s="95" t="s">
        <v>318</v>
      </c>
      <c r="C264" s="81" t="s">
        <v>59</v>
      </c>
      <c r="D264" s="96">
        <v>1</v>
      </c>
      <c r="E264" s="57">
        <v>280000</v>
      </c>
      <c r="F264" s="53">
        <f t="shared" si="11"/>
        <v>280000</v>
      </c>
    </row>
    <row r="265" spans="1:6">
      <c r="A265" s="51" t="s">
        <v>319</v>
      </c>
      <c r="B265" s="95" t="s">
        <v>320</v>
      </c>
      <c r="C265" s="81" t="s">
        <v>59</v>
      </c>
      <c r="D265" s="96">
        <v>1</v>
      </c>
      <c r="E265" s="57">
        <v>150000</v>
      </c>
      <c r="F265" s="53">
        <f t="shared" si="11"/>
        <v>150000</v>
      </c>
    </row>
    <row r="266" spans="1:6" ht="26.45">
      <c r="A266" s="51" t="s">
        <v>321</v>
      </c>
      <c r="B266" s="38" t="s">
        <v>322</v>
      </c>
      <c r="C266" s="81" t="s">
        <v>59</v>
      </c>
      <c r="D266" s="96">
        <v>10</v>
      </c>
      <c r="E266" s="57">
        <v>17500</v>
      </c>
      <c r="F266" s="53">
        <f t="shared" si="11"/>
        <v>175000</v>
      </c>
    </row>
    <row r="267" spans="1:6">
      <c r="A267" s="51" t="s">
        <v>323</v>
      </c>
      <c r="B267" s="95" t="s">
        <v>324</v>
      </c>
      <c r="C267" s="81" t="s">
        <v>59</v>
      </c>
      <c r="D267" s="96">
        <v>1</v>
      </c>
      <c r="E267" s="57">
        <v>200000</v>
      </c>
      <c r="F267" s="53">
        <f t="shared" si="11"/>
        <v>200000</v>
      </c>
    </row>
    <row r="268" spans="1:6">
      <c r="A268" s="51" t="s">
        <v>325</v>
      </c>
      <c r="B268" s="95" t="s">
        <v>326</v>
      </c>
      <c r="C268" s="81" t="s">
        <v>59</v>
      </c>
      <c r="D268" s="96">
        <v>1</v>
      </c>
      <c r="E268" s="57">
        <v>75000</v>
      </c>
      <c r="F268" s="53">
        <f t="shared" si="11"/>
        <v>75000</v>
      </c>
    </row>
    <row r="269" spans="1:6" ht="52.9">
      <c r="A269" s="51" t="s">
        <v>327</v>
      </c>
      <c r="B269" s="38" t="s">
        <v>328</v>
      </c>
      <c r="C269" s="81" t="s">
        <v>59</v>
      </c>
      <c r="D269" s="96">
        <v>1</v>
      </c>
      <c r="E269" s="57">
        <v>1100000</v>
      </c>
      <c r="F269" s="53">
        <f t="shared" si="11"/>
        <v>1100000</v>
      </c>
    </row>
    <row r="270" spans="1:6">
      <c r="A270" s="56"/>
      <c r="B270" s="125" t="s">
        <v>329</v>
      </c>
      <c r="C270" s="15"/>
      <c r="D270" s="128"/>
      <c r="E270" s="57"/>
      <c r="F270" s="64">
        <f>SUM(F259:F269)</f>
        <v>3005000</v>
      </c>
    </row>
    <row r="271" spans="1:6">
      <c r="A271" s="129"/>
      <c r="B271" s="130"/>
      <c r="C271" s="131"/>
      <c r="D271" s="132"/>
      <c r="E271" s="133"/>
      <c r="F271" s="53"/>
    </row>
    <row r="272" spans="1:6">
      <c r="A272" s="56"/>
      <c r="B272" s="61" t="s">
        <v>330</v>
      </c>
      <c r="C272" s="15"/>
      <c r="D272" s="128"/>
      <c r="E272" s="69"/>
      <c r="F272" s="64">
        <f>SUM(F270,F256,F250,F240,F234,F225)</f>
        <v>36187500</v>
      </c>
    </row>
    <row r="273" spans="1:6">
      <c r="A273" s="81"/>
      <c r="B273" s="61"/>
      <c r="C273" s="84"/>
      <c r="D273" s="85"/>
      <c r="E273" s="57"/>
      <c r="F273" s="92"/>
    </row>
    <row r="274" spans="1:6">
      <c r="A274" s="13" t="s">
        <v>331</v>
      </c>
      <c r="B274" s="59" t="s">
        <v>332</v>
      </c>
      <c r="C274" s="41"/>
      <c r="D274" s="93"/>
      <c r="E274" s="57"/>
      <c r="F274" s="94"/>
    </row>
    <row r="275" spans="1:6">
      <c r="A275" s="51">
        <v>11.1</v>
      </c>
      <c r="B275" s="95" t="s">
        <v>333</v>
      </c>
      <c r="C275" s="81" t="s">
        <v>17</v>
      </c>
      <c r="D275" s="96">
        <v>31.8</v>
      </c>
      <c r="E275" s="57">
        <v>15000</v>
      </c>
      <c r="F275" s="53">
        <f>PRODUCT(D275,E275)</f>
        <v>477000</v>
      </c>
    </row>
    <row r="276" spans="1:6">
      <c r="A276" s="51">
        <v>11.2</v>
      </c>
      <c r="B276" s="95" t="s">
        <v>334</v>
      </c>
      <c r="C276" s="81" t="s">
        <v>59</v>
      </c>
      <c r="D276" s="96">
        <v>10</v>
      </c>
      <c r="E276" s="57">
        <v>2000</v>
      </c>
      <c r="F276" s="53">
        <f>PRODUCT(D276,E276)</f>
        <v>20000</v>
      </c>
    </row>
    <row r="277" spans="1:6">
      <c r="A277" s="13"/>
      <c r="B277" s="61" t="s">
        <v>251</v>
      </c>
      <c r="C277" s="41"/>
      <c r="D277" s="93"/>
      <c r="E277" s="57"/>
      <c r="F277" s="64">
        <f>SUM(F275:F276)</f>
        <v>497000</v>
      </c>
    </row>
    <row r="278" spans="1:6">
      <c r="A278" s="13"/>
      <c r="B278" s="61"/>
      <c r="C278" s="41"/>
      <c r="D278" s="93"/>
      <c r="E278" s="57"/>
      <c r="F278" s="64"/>
    </row>
    <row r="279" spans="1:6">
      <c r="A279" s="13" t="s">
        <v>335</v>
      </c>
      <c r="B279" s="59" t="s">
        <v>336</v>
      </c>
      <c r="C279" s="41"/>
      <c r="D279" s="93"/>
      <c r="E279" s="57"/>
      <c r="F279" s="94"/>
    </row>
    <row r="280" spans="1:6">
      <c r="A280" s="157">
        <v>12.1</v>
      </c>
      <c r="B280" s="159" t="s">
        <v>337</v>
      </c>
      <c r="C280" s="81"/>
      <c r="D280" s="96"/>
      <c r="E280" s="57"/>
      <c r="F280" s="53"/>
    </row>
    <row r="281" spans="1:6">
      <c r="A281" s="51" t="s">
        <v>338</v>
      </c>
      <c r="B281" s="95" t="s">
        <v>339</v>
      </c>
      <c r="C281" s="81" t="s">
        <v>12</v>
      </c>
      <c r="D281" s="96">
        <v>1</v>
      </c>
      <c r="E281" s="57">
        <v>20000000</v>
      </c>
      <c r="F281" s="53">
        <f>PRODUCT(D281,E281)</f>
        <v>20000000</v>
      </c>
    </row>
    <row r="282" spans="1:6">
      <c r="A282" s="56"/>
      <c r="B282" s="125" t="s">
        <v>340</v>
      </c>
      <c r="C282" s="15"/>
      <c r="D282" s="128"/>
      <c r="E282" s="57"/>
      <c r="F282" s="64">
        <f>SUM(F281)</f>
        <v>20000000</v>
      </c>
    </row>
    <row r="283" spans="1:6">
      <c r="A283" s="157">
        <v>12.2</v>
      </c>
      <c r="B283" s="159" t="s">
        <v>341</v>
      </c>
      <c r="C283" s="81"/>
      <c r="D283" s="96"/>
      <c r="E283" s="57"/>
      <c r="F283" s="53"/>
    </row>
    <row r="284" spans="1:6">
      <c r="A284" s="51" t="s">
        <v>342</v>
      </c>
      <c r="B284" s="95" t="s">
        <v>343</v>
      </c>
      <c r="C284" s="81" t="s">
        <v>59</v>
      </c>
      <c r="D284" s="96">
        <v>16</v>
      </c>
      <c r="E284" s="57">
        <v>1800000</v>
      </c>
      <c r="F284" s="53">
        <f t="shared" ref="F284:F289" si="12">PRODUCT(D284,E284)</f>
        <v>28800000</v>
      </c>
    </row>
    <row r="285" spans="1:6">
      <c r="A285" s="51" t="s">
        <v>344</v>
      </c>
      <c r="B285" s="95" t="s">
        <v>345</v>
      </c>
      <c r="C285" s="81" t="s">
        <v>59</v>
      </c>
      <c r="D285" s="96">
        <v>6</v>
      </c>
      <c r="E285" s="57">
        <v>2500000</v>
      </c>
      <c r="F285" s="53">
        <f t="shared" si="12"/>
        <v>15000000</v>
      </c>
    </row>
    <row r="286" spans="1:6">
      <c r="A286" s="51" t="s">
        <v>346</v>
      </c>
      <c r="B286" s="95" t="s">
        <v>347</v>
      </c>
      <c r="C286" s="81" t="s">
        <v>59</v>
      </c>
      <c r="D286" s="96">
        <v>6</v>
      </c>
      <c r="E286" s="57">
        <v>1400000</v>
      </c>
      <c r="F286" s="53">
        <f t="shared" si="12"/>
        <v>8400000</v>
      </c>
    </row>
    <row r="287" spans="1:6">
      <c r="A287" s="51" t="s">
        <v>348</v>
      </c>
      <c r="B287" s="95" t="s">
        <v>349</v>
      </c>
      <c r="C287" s="81" t="s">
        <v>59</v>
      </c>
      <c r="D287" s="96">
        <v>6</v>
      </c>
      <c r="E287" s="57">
        <v>110000</v>
      </c>
      <c r="F287" s="53">
        <f t="shared" si="12"/>
        <v>660000</v>
      </c>
    </row>
    <row r="288" spans="1:6">
      <c r="A288" s="51" t="s">
        <v>350</v>
      </c>
      <c r="B288" s="95" t="s">
        <v>351</v>
      </c>
      <c r="C288" s="81" t="s">
        <v>59</v>
      </c>
      <c r="D288" s="96">
        <v>16</v>
      </c>
      <c r="E288" s="57">
        <v>370000</v>
      </c>
      <c r="F288" s="53">
        <f t="shared" si="12"/>
        <v>5920000</v>
      </c>
    </row>
    <row r="289" spans="1:12">
      <c r="A289" s="51" t="s">
        <v>352</v>
      </c>
      <c r="B289" s="95" t="s">
        <v>353</v>
      </c>
      <c r="C289" s="81" t="s">
        <v>59</v>
      </c>
      <c r="D289" s="96">
        <v>16</v>
      </c>
      <c r="E289" s="57">
        <v>250000</v>
      </c>
      <c r="F289" s="53">
        <f t="shared" si="12"/>
        <v>4000000</v>
      </c>
    </row>
    <row r="290" spans="1:12">
      <c r="A290" s="56"/>
      <c r="B290" s="125" t="s">
        <v>354</v>
      </c>
      <c r="C290" s="15"/>
      <c r="D290" s="128"/>
      <c r="E290" s="57"/>
      <c r="F290" s="64">
        <f>SUM(F284:F289)</f>
        <v>62780000</v>
      </c>
    </row>
    <row r="291" spans="1:12">
      <c r="A291" s="157">
        <v>12.3</v>
      </c>
      <c r="B291" s="159" t="s">
        <v>355</v>
      </c>
      <c r="C291" s="81"/>
      <c r="D291" s="96"/>
      <c r="E291" s="57"/>
      <c r="F291" s="53"/>
    </row>
    <row r="292" spans="1:12">
      <c r="A292" s="51" t="s">
        <v>356</v>
      </c>
      <c r="B292" s="95" t="s">
        <v>357</v>
      </c>
      <c r="C292" s="81" t="s">
        <v>59</v>
      </c>
      <c r="D292" s="96">
        <v>2</v>
      </c>
      <c r="E292" s="57">
        <v>985000</v>
      </c>
      <c r="F292" s="53">
        <f>PRODUCT(D292,E292)</f>
        <v>1970000</v>
      </c>
    </row>
    <row r="293" spans="1:12">
      <c r="A293" s="51" t="s">
        <v>358</v>
      </c>
      <c r="B293" s="95" t="s">
        <v>359</v>
      </c>
      <c r="C293" s="81" t="s">
        <v>59</v>
      </c>
      <c r="D293" s="96">
        <v>1</v>
      </c>
      <c r="E293" s="57">
        <v>760000</v>
      </c>
      <c r="F293" s="53">
        <f>PRODUCT(D293,E293)</f>
        <v>760000</v>
      </c>
    </row>
    <row r="294" spans="1:12">
      <c r="A294" s="51" t="s">
        <v>360</v>
      </c>
      <c r="B294" s="95" t="s">
        <v>361</v>
      </c>
      <c r="C294" s="81" t="s">
        <v>59</v>
      </c>
      <c r="D294" s="96">
        <v>1</v>
      </c>
      <c r="E294" s="57">
        <v>3500000</v>
      </c>
      <c r="F294" s="53">
        <f>PRODUCT(D294,E294)</f>
        <v>3500000</v>
      </c>
      <c r="L294" s="160"/>
    </row>
    <row r="295" spans="1:12">
      <c r="A295" s="51" t="s">
        <v>362</v>
      </c>
      <c r="B295" s="95" t="s">
        <v>363</v>
      </c>
      <c r="C295" s="81" t="s">
        <v>59</v>
      </c>
      <c r="D295" s="96">
        <v>4</v>
      </c>
      <c r="E295" s="57">
        <v>500000</v>
      </c>
      <c r="F295" s="53">
        <f>PRODUCT(D295,E295)</f>
        <v>2000000</v>
      </c>
    </row>
    <row r="296" spans="1:12">
      <c r="A296" s="56"/>
      <c r="B296" s="125" t="s">
        <v>364</v>
      </c>
      <c r="C296" s="15"/>
      <c r="D296" s="128"/>
      <c r="E296" s="57"/>
      <c r="F296" s="64">
        <f>SUM(F292:F295)</f>
        <v>8230000</v>
      </c>
    </row>
    <row r="297" spans="1:12">
      <c r="A297" s="13"/>
      <c r="B297" s="61" t="s">
        <v>365</v>
      </c>
      <c r="C297" s="41"/>
      <c r="D297" s="93"/>
      <c r="E297" s="57"/>
      <c r="F297" s="64">
        <f>SUM(F296,F290,F282)</f>
        <v>91010000</v>
      </c>
    </row>
    <row r="298" spans="1:12">
      <c r="A298" s="13"/>
      <c r="B298" s="61"/>
      <c r="C298" s="41"/>
      <c r="D298" s="93"/>
      <c r="E298" s="57"/>
      <c r="F298" s="64"/>
    </row>
    <row r="299" spans="1:12" ht="15.6">
      <c r="A299" s="26"/>
      <c r="B299" s="101" t="s">
        <v>366</v>
      </c>
      <c r="C299" s="26"/>
      <c r="D299" s="27"/>
      <c r="E299" s="28"/>
      <c r="F299" s="102">
        <f>SUM(F277,F272,F210,F187,F166,F159,F152,F66,F55,F45,F32,F15)</f>
        <v>272744704.69999999</v>
      </c>
    </row>
  </sheetData>
  <mergeCells count="12">
    <mergeCell ref="A167:F167"/>
    <mergeCell ref="A188:F188"/>
    <mergeCell ref="A46:F46"/>
    <mergeCell ref="A56:F56"/>
    <mergeCell ref="A67:F67"/>
    <mergeCell ref="A153:F153"/>
    <mergeCell ref="A160:F160"/>
    <mergeCell ref="A1:F1"/>
    <mergeCell ref="A2:F2"/>
    <mergeCell ref="A3:F3"/>
    <mergeCell ref="A16:F16"/>
    <mergeCell ref="A33:F33"/>
  </mergeCells>
  <phoneticPr fontId="19" type="noConversion"/>
  <pageMargins left="0.7" right="0.7" top="0.75" bottom="0.75" header="0.3" footer="0.3"/>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09196-0BF8-481F-947D-16FA101D10BA}">
  <sheetPr>
    <tabColor theme="9"/>
    <pageSetUpPr fitToPage="1"/>
  </sheetPr>
  <dimension ref="A1:H262"/>
  <sheetViews>
    <sheetView view="pageBreakPreview" topLeftCell="A163" zoomScale="130" zoomScaleNormal="130" zoomScaleSheetLayoutView="130" workbookViewId="0">
      <selection activeCell="F23" sqref="F23"/>
    </sheetView>
  </sheetViews>
  <sheetFormatPr defaultColWidth="11.42578125" defaultRowHeight="14.45"/>
  <cols>
    <col min="1" max="1" width="7.7109375" customWidth="1"/>
    <col min="2" max="2" width="45.7109375" customWidth="1"/>
    <col min="3" max="3" width="8.7109375" customWidth="1"/>
    <col min="4" max="4" width="10.7109375" customWidth="1"/>
    <col min="5" max="5" width="11.7109375" customWidth="1"/>
    <col min="6" max="6" width="12.7109375" customWidth="1"/>
    <col min="7" max="7" width="23.42578125" customWidth="1"/>
  </cols>
  <sheetData>
    <row r="1" spans="1:6" ht="81" customHeight="1">
      <c r="A1" s="322" t="s">
        <v>367</v>
      </c>
      <c r="B1" s="322"/>
      <c r="C1" s="322"/>
      <c r="D1" s="322"/>
      <c r="E1" s="322"/>
      <c r="F1" s="322"/>
    </row>
    <row r="2" spans="1:6" ht="20.100000000000001" customHeight="1">
      <c r="A2" s="302" t="s">
        <v>1</v>
      </c>
      <c r="B2" s="302"/>
      <c r="C2" s="302"/>
      <c r="D2" s="302"/>
      <c r="E2" s="302"/>
      <c r="F2" s="302"/>
    </row>
    <row r="3" spans="1:6" ht="20.100000000000001" customHeight="1">
      <c r="A3" s="303" t="s">
        <v>368</v>
      </c>
      <c r="B3" s="303"/>
      <c r="C3" s="303"/>
      <c r="D3" s="303"/>
      <c r="E3" s="303"/>
      <c r="F3" s="303"/>
    </row>
    <row r="4" spans="1:6" ht="15" customHeight="1">
      <c r="A4" s="1"/>
      <c r="B4" s="1"/>
      <c r="C4" s="2"/>
      <c r="D4" s="2"/>
      <c r="E4" s="3"/>
      <c r="F4" s="2"/>
    </row>
    <row r="5" spans="1:6" ht="26.45">
      <c r="A5" s="4" t="s">
        <v>3</v>
      </c>
      <c r="B5" s="5" t="s">
        <v>4</v>
      </c>
      <c r="C5" s="5" t="s">
        <v>5</v>
      </c>
      <c r="D5" s="6" t="s">
        <v>6</v>
      </c>
      <c r="E5" s="7" t="s">
        <v>7</v>
      </c>
      <c r="F5" s="5" t="s">
        <v>8</v>
      </c>
    </row>
    <row r="6" spans="1:6" ht="15.6">
      <c r="A6" s="304"/>
      <c r="B6" s="305"/>
      <c r="C6" s="305"/>
      <c r="D6" s="305"/>
      <c r="E6" s="305"/>
      <c r="F6" s="306"/>
    </row>
    <row r="7" spans="1:6">
      <c r="A7" s="147" t="s">
        <v>19</v>
      </c>
      <c r="B7" s="148" t="s">
        <v>20</v>
      </c>
      <c r="C7" s="13"/>
      <c r="D7" s="14"/>
      <c r="E7" s="149"/>
      <c r="F7" s="150"/>
    </row>
    <row r="8" spans="1:6" ht="15">
      <c r="A8" s="15">
        <v>1.1000000000000001</v>
      </c>
      <c r="B8" s="151" t="s">
        <v>21</v>
      </c>
      <c r="C8" s="15" t="s">
        <v>22</v>
      </c>
      <c r="D8" s="16">
        <f>69*1.2*1.2*1.2</f>
        <v>119.232</v>
      </c>
      <c r="E8" s="17"/>
      <c r="F8" s="150"/>
    </row>
    <row r="9" spans="1:6" ht="15">
      <c r="A9" s="15">
        <v>1.2</v>
      </c>
      <c r="B9" s="151" t="s">
        <v>23</v>
      </c>
      <c r="C9" s="15" t="s">
        <v>22</v>
      </c>
      <c r="D9" s="16">
        <f>230*0.4*0.6</f>
        <v>55.199999999999996</v>
      </c>
      <c r="E9" s="17"/>
      <c r="F9" s="150"/>
    </row>
    <row r="10" spans="1:6" ht="26.45">
      <c r="A10" s="15">
        <v>1.3</v>
      </c>
      <c r="B10" s="151" t="s">
        <v>25</v>
      </c>
      <c r="C10" s="15" t="s">
        <v>22</v>
      </c>
      <c r="D10" s="16">
        <f>350*0.35</f>
        <v>122.49999999999999</v>
      </c>
      <c r="E10" s="17"/>
      <c r="F10" s="150"/>
    </row>
    <row r="11" spans="1:6" ht="15">
      <c r="A11" s="15">
        <v>1.4</v>
      </c>
      <c r="B11" s="151" t="s">
        <v>24</v>
      </c>
      <c r="C11" s="15" t="s">
        <v>22</v>
      </c>
      <c r="D11" s="16">
        <f>D8+D9-D14-D15</f>
        <v>122.768</v>
      </c>
      <c r="E11" s="17"/>
      <c r="F11" s="150"/>
    </row>
    <row r="12" spans="1:6" ht="26.45">
      <c r="A12" s="15">
        <v>1.5</v>
      </c>
      <c r="B12" s="151" t="s">
        <v>369</v>
      </c>
      <c r="C12" s="15" t="s">
        <v>22</v>
      </c>
      <c r="D12" s="16">
        <f>230*0.4*0.05</f>
        <v>4.6000000000000005</v>
      </c>
      <c r="E12" s="17"/>
      <c r="F12" s="150"/>
    </row>
    <row r="13" spans="1:6" ht="26.45">
      <c r="A13" s="15">
        <v>1.6</v>
      </c>
      <c r="B13" s="151" t="s">
        <v>370</v>
      </c>
      <c r="C13" s="15" t="s">
        <v>22</v>
      </c>
      <c r="D13" s="16">
        <f>77*1*1*0.05</f>
        <v>3.85</v>
      </c>
      <c r="E13" s="17"/>
      <c r="F13" s="150"/>
    </row>
    <row r="14" spans="1:6" ht="26.45">
      <c r="A14" s="15">
        <v>1.7</v>
      </c>
      <c r="B14" s="151" t="s">
        <v>27</v>
      </c>
      <c r="C14" s="15" t="s">
        <v>22</v>
      </c>
      <c r="D14" s="16">
        <f>77*1.2*1.2*0.3</f>
        <v>33.263999999999996</v>
      </c>
      <c r="E14" s="17"/>
      <c r="F14" s="150"/>
    </row>
    <row r="15" spans="1:6" ht="26.45">
      <c r="A15" s="15">
        <v>1.8</v>
      </c>
      <c r="B15" s="151" t="s">
        <v>30</v>
      </c>
      <c r="C15" s="15" t="s">
        <v>22</v>
      </c>
      <c r="D15" s="16">
        <f>230*0.4*0.2</f>
        <v>18.400000000000002</v>
      </c>
      <c r="E15" s="156"/>
      <c r="F15" s="150"/>
    </row>
    <row r="16" spans="1:6" ht="39.6">
      <c r="A16" s="15">
        <v>1.9</v>
      </c>
      <c r="B16" s="151" t="s">
        <v>371</v>
      </c>
      <c r="C16" s="15" t="s">
        <v>22</v>
      </c>
      <c r="D16" s="16">
        <f>77*0.25*0.25*1.2</f>
        <v>5.7749999999999995</v>
      </c>
      <c r="E16" s="17"/>
      <c r="F16" s="150"/>
    </row>
    <row r="17" spans="1:6" ht="26.45">
      <c r="A17" s="15">
        <v>1.1000000000000001</v>
      </c>
      <c r="B17" s="151" t="s">
        <v>31</v>
      </c>
      <c r="C17" s="15" t="s">
        <v>17</v>
      </c>
      <c r="D17" s="16">
        <f>230*0.4</f>
        <v>92</v>
      </c>
      <c r="E17" s="17"/>
      <c r="F17" s="150"/>
    </row>
    <row r="18" spans="1:6" ht="26.45">
      <c r="A18" s="15">
        <v>1.1100000000000001</v>
      </c>
      <c r="B18" s="151" t="s">
        <v>32</v>
      </c>
      <c r="C18" s="15" t="s">
        <v>22</v>
      </c>
      <c r="D18" s="16">
        <f>230*0.3*0.4</f>
        <v>27.6</v>
      </c>
      <c r="E18" s="17"/>
      <c r="F18" s="150"/>
    </row>
    <row r="19" spans="1:6" ht="26.45">
      <c r="A19" s="15">
        <v>1.1200000000000001</v>
      </c>
      <c r="B19" s="151" t="s">
        <v>372</v>
      </c>
      <c r="C19" s="15" t="s">
        <v>22</v>
      </c>
      <c r="D19" s="16">
        <f>10*0.2*0.2</f>
        <v>0.4</v>
      </c>
      <c r="E19" s="17"/>
      <c r="F19" s="150"/>
    </row>
    <row r="20" spans="1:6" ht="52.9">
      <c r="A20" s="15">
        <v>1.1299999999999999</v>
      </c>
      <c r="B20" s="151" t="s">
        <v>373</v>
      </c>
      <c r="C20" s="15" t="s">
        <v>22</v>
      </c>
      <c r="D20" s="16">
        <f>350*0.12</f>
        <v>42</v>
      </c>
      <c r="E20" s="17"/>
      <c r="F20" s="150"/>
    </row>
    <row r="21" spans="1:6" ht="39.6">
      <c r="A21" s="15">
        <v>1.1399999999999999</v>
      </c>
      <c r="B21" s="151" t="s">
        <v>34</v>
      </c>
      <c r="C21" s="15" t="s">
        <v>22</v>
      </c>
      <c r="D21" s="16">
        <v>0.56000000000000005</v>
      </c>
      <c r="E21" s="17"/>
      <c r="F21" s="150"/>
    </row>
    <row r="22" spans="1:6" ht="39.6">
      <c r="A22" s="15">
        <v>1.1499999999999999</v>
      </c>
      <c r="B22" s="151" t="s">
        <v>35</v>
      </c>
      <c r="C22" s="15" t="s">
        <v>17</v>
      </c>
      <c r="D22" s="16">
        <f>350</f>
        <v>350</v>
      </c>
      <c r="E22" s="17"/>
      <c r="F22" s="150"/>
    </row>
    <row r="23" spans="1:6">
      <c r="A23" s="15"/>
      <c r="B23" s="18" t="s">
        <v>36</v>
      </c>
      <c r="C23" s="15"/>
      <c r="D23" s="19"/>
      <c r="E23" s="17"/>
      <c r="F23" s="107">
        <f>SUM(F8:F22)</f>
        <v>0</v>
      </c>
    </row>
    <row r="24" spans="1:6" ht="15.6">
      <c r="A24" s="307"/>
      <c r="B24" s="308"/>
      <c r="C24" s="308"/>
      <c r="D24" s="308"/>
      <c r="E24" s="308"/>
      <c r="F24" s="309"/>
    </row>
    <row r="25" spans="1:6">
      <c r="A25" s="147" t="s">
        <v>37</v>
      </c>
      <c r="B25" s="148" t="s">
        <v>38</v>
      </c>
      <c r="C25" s="152"/>
      <c r="D25" s="153"/>
      <c r="E25" s="17"/>
      <c r="F25" s="154"/>
    </row>
    <row r="26" spans="1:6" ht="39.6">
      <c r="A26" s="41">
        <v>2.1</v>
      </c>
      <c r="B26" s="151" t="s">
        <v>39</v>
      </c>
      <c r="C26" s="15" t="s">
        <v>22</v>
      </c>
      <c r="D26" s="155">
        <f>77*0.25*0.25*4</f>
        <v>19.25</v>
      </c>
      <c r="E26" s="156"/>
      <c r="F26" s="150"/>
    </row>
    <row r="27" spans="1:6" ht="26.45">
      <c r="A27" s="41">
        <v>2.2000000000000002</v>
      </c>
      <c r="B27" s="151" t="s">
        <v>40</v>
      </c>
      <c r="C27" s="15" t="s">
        <v>22</v>
      </c>
      <c r="D27" s="155">
        <f>60*0.2*0.1</f>
        <v>1.2000000000000002</v>
      </c>
      <c r="E27" s="156"/>
      <c r="F27" s="150"/>
    </row>
    <row r="28" spans="1:6" ht="39.6">
      <c r="A28" s="41">
        <v>2.2999999999999998</v>
      </c>
      <c r="B28" s="151" t="s">
        <v>41</v>
      </c>
      <c r="C28" s="15" t="s">
        <v>22</v>
      </c>
      <c r="D28" s="155">
        <f>230*0.15*0.15</f>
        <v>5.1749999999999998</v>
      </c>
      <c r="E28" s="156"/>
      <c r="F28" s="150"/>
    </row>
    <row r="29" spans="1:6" ht="39.6">
      <c r="A29" s="41">
        <v>2.4</v>
      </c>
      <c r="B29" s="151" t="s">
        <v>42</v>
      </c>
      <c r="C29" s="15" t="s">
        <v>22</v>
      </c>
      <c r="D29" s="155">
        <f>230*0.15*0.3</f>
        <v>10.35</v>
      </c>
      <c r="E29" s="156"/>
      <c r="F29" s="150"/>
    </row>
    <row r="30" spans="1:6" ht="26.45">
      <c r="A30" s="41">
        <v>2.5</v>
      </c>
      <c r="B30" s="151" t="s">
        <v>43</v>
      </c>
      <c r="C30" s="15" t="s">
        <v>22</v>
      </c>
      <c r="D30" s="155">
        <f>137*0.2*0.6</f>
        <v>16.440000000000001</v>
      </c>
      <c r="E30" s="156"/>
      <c r="F30" s="150"/>
    </row>
    <row r="31" spans="1:6" ht="26.45">
      <c r="A31" s="41">
        <v>2.6</v>
      </c>
      <c r="B31" s="151" t="s">
        <v>44</v>
      </c>
      <c r="C31" s="15" t="s">
        <v>17</v>
      </c>
      <c r="D31" s="155">
        <v>0</v>
      </c>
      <c r="E31" s="156"/>
      <c r="F31" s="150"/>
    </row>
    <row r="32" spans="1:6" ht="26.45">
      <c r="A32" s="41">
        <v>2.7</v>
      </c>
      <c r="B32" s="151" t="s">
        <v>374</v>
      </c>
      <c r="C32" s="15" t="s">
        <v>22</v>
      </c>
      <c r="D32" s="155">
        <f>40.85*0.25</f>
        <v>10.2125</v>
      </c>
      <c r="E32" s="156"/>
      <c r="F32" s="150"/>
    </row>
    <row r="33" spans="1:6" ht="39.6">
      <c r="A33" s="41">
        <v>2.8</v>
      </c>
      <c r="B33" s="151" t="s">
        <v>46</v>
      </c>
      <c r="C33" s="15" t="s">
        <v>22</v>
      </c>
      <c r="D33" s="155">
        <f>49*0.2*0.2</f>
        <v>1.9600000000000002</v>
      </c>
      <c r="E33" s="156"/>
      <c r="F33" s="150"/>
    </row>
    <row r="34" spans="1:6" ht="26.45">
      <c r="A34" s="41">
        <v>2.9</v>
      </c>
      <c r="B34" s="151" t="s">
        <v>47</v>
      </c>
      <c r="C34" s="15" t="s">
        <v>22</v>
      </c>
      <c r="D34" s="155">
        <f>142.95*0.15</f>
        <v>21.442499999999999</v>
      </c>
      <c r="E34" s="156"/>
      <c r="F34" s="150"/>
    </row>
    <row r="35" spans="1:6">
      <c r="A35" s="42"/>
      <c r="B35" s="18" t="s">
        <v>49</v>
      </c>
      <c r="C35" s="43"/>
      <c r="D35" s="16"/>
      <c r="E35" s="44"/>
      <c r="F35" s="40">
        <f>SUM(F26:F34)</f>
        <v>0</v>
      </c>
    </row>
    <row r="36" spans="1:6">
      <c r="A36" s="316"/>
      <c r="B36" s="317"/>
      <c r="C36" s="317"/>
      <c r="D36" s="317"/>
      <c r="E36" s="317"/>
      <c r="F36" s="318"/>
    </row>
    <row r="37" spans="1:6">
      <c r="A37" s="43" t="s">
        <v>50</v>
      </c>
      <c r="B37" s="97" t="s">
        <v>51</v>
      </c>
      <c r="C37" s="43"/>
      <c r="D37" s="46"/>
      <c r="E37" s="44"/>
      <c r="F37" s="39"/>
    </row>
    <row r="38" spans="1:6" ht="26.45">
      <c r="A38" s="36">
        <v>3.1</v>
      </c>
      <c r="B38" s="47" t="s">
        <v>375</v>
      </c>
      <c r="C38" s="15" t="s">
        <v>17</v>
      </c>
      <c r="D38" s="16">
        <v>691.13</v>
      </c>
      <c r="E38" s="17"/>
      <c r="F38" s="48"/>
    </row>
    <row r="39" spans="1:6" ht="26.45">
      <c r="A39" s="36">
        <v>3.2</v>
      </c>
      <c r="B39" s="47" t="s">
        <v>376</v>
      </c>
      <c r="C39" s="15" t="s">
        <v>17</v>
      </c>
      <c r="D39" s="16">
        <v>8.33</v>
      </c>
      <c r="E39" s="17"/>
      <c r="F39" s="48"/>
    </row>
    <row r="40" spans="1:6">
      <c r="A40" s="36">
        <v>3.3</v>
      </c>
      <c r="B40" s="47" t="s">
        <v>377</v>
      </c>
      <c r="C40" s="15" t="s">
        <v>17</v>
      </c>
      <c r="D40" s="16">
        <f>149.24*1.05</f>
        <v>156.70200000000003</v>
      </c>
      <c r="E40" s="17"/>
      <c r="F40" s="48"/>
    </row>
    <row r="41" spans="1:6" ht="26.45">
      <c r="A41" s="36">
        <v>3.4</v>
      </c>
      <c r="B41" s="47" t="s">
        <v>378</v>
      </c>
      <c r="C41" s="15" t="s">
        <v>17</v>
      </c>
      <c r="D41" s="16">
        <f>52.86</f>
        <v>52.86</v>
      </c>
      <c r="E41" s="17"/>
      <c r="F41" s="48"/>
    </row>
    <row r="42" spans="1:6" ht="26.45">
      <c r="A42" s="36">
        <v>3.5</v>
      </c>
      <c r="B42" s="47" t="s">
        <v>379</v>
      </c>
      <c r="C42" s="15" t="s">
        <v>17</v>
      </c>
      <c r="D42" s="16">
        <f>100*0.4</f>
        <v>40</v>
      </c>
      <c r="E42" s="17"/>
      <c r="F42" s="48"/>
    </row>
    <row r="43" spans="1:6" ht="79.150000000000006">
      <c r="A43" s="36">
        <v>3.6</v>
      </c>
      <c r="B43" s="38" t="s">
        <v>380</v>
      </c>
      <c r="C43" s="49" t="s">
        <v>17</v>
      </c>
      <c r="D43" s="49">
        <f>81.01*1.2</f>
        <v>97.212000000000003</v>
      </c>
      <c r="E43" s="17"/>
      <c r="F43" s="48"/>
    </row>
    <row r="44" spans="1:6" ht="66">
      <c r="A44" s="36">
        <v>3.7</v>
      </c>
      <c r="B44" s="38" t="s">
        <v>381</v>
      </c>
      <c r="C44" s="49" t="s">
        <v>17</v>
      </c>
      <c r="D44" s="16">
        <f>310.35</f>
        <v>310.35000000000002</v>
      </c>
      <c r="E44" s="17"/>
      <c r="F44" s="48"/>
    </row>
    <row r="45" spans="1:6" ht="79.150000000000006">
      <c r="A45" s="36">
        <v>3.8</v>
      </c>
      <c r="B45" s="38" t="s">
        <v>382</v>
      </c>
      <c r="C45" s="49" t="s">
        <v>17</v>
      </c>
      <c r="D45" s="49">
        <v>253.14</v>
      </c>
      <c r="E45" s="17"/>
      <c r="F45" s="48"/>
    </row>
    <row r="46" spans="1:6">
      <c r="A46" s="36">
        <v>3.9</v>
      </c>
      <c r="B46" s="38" t="s">
        <v>383</v>
      </c>
      <c r="C46" s="49" t="s">
        <v>12</v>
      </c>
      <c r="D46" s="49">
        <v>1</v>
      </c>
      <c r="E46" s="156"/>
      <c r="F46" s="48"/>
    </row>
    <row r="47" spans="1:6">
      <c r="A47" s="45"/>
      <c r="B47" s="18" t="s">
        <v>60</v>
      </c>
      <c r="C47" s="43"/>
      <c r="D47" s="50"/>
      <c r="E47" s="44"/>
      <c r="F47" s="40">
        <f>SUM(F38:F46)</f>
        <v>0</v>
      </c>
    </row>
    <row r="48" spans="1:6">
      <c r="A48" s="316"/>
      <c r="B48" s="317"/>
      <c r="C48" s="317"/>
      <c r="D48" s="317"/>
      <c r="E48" s="317"/>
      <c r="F48" s="318"/>
    </row>
    <row r="49" spans="1:8">
      <c r="A49" s="43" t="s">
        <v>61</v>
      </c>
      <c r="B49" s="97" t="s">
        <v>62</v>
      </c>
      <c r="C49" s="43"/>
      <c r="D49" s="46"/>
      <c r="E49" s="44"/>
      <c r="F49" s="39"/>
    </row>
    <row r="50" spans="1:8">
      <c r="A50" s="157">
        <v>4.0999999999999996</v>
      </c>
      <c r="B50" s="55" t="s">
        <v>63</v>
      </c>
      <c r="C50" s="43"/>
      <c r="D50" s="37"/>
      <c r="E50" s="44"/>
      <c r="F50" s="40"/>
      <c r="G50" s="277"/>
    </row>
    <row r="51" spans="1:8" s="170" customFormat="1" ht="26.45">
      <c r="A51" s="51" t="s">
        <v>64</v>
      </c>
      <c r="B51" s="119" t="s">
        <v>384</v>
      </c>
      <c r="C51" s="41" t="s">
        <v>66</v>
      </c>
      <c r="D51" s="49">
        <v>270</v>
      </c>
      <c r="E51" s="53"/>
      <c r="F51" s="53"/>
    </row>
    <row r="52" spans="1:8">
      <c r="A52" s="51" t="s">
        <v>67</v>
      </c>
      <c r="B52" s="38" t="s">
        <v>68</v>
      </c>
      <c r="C52" s="41" t="s">
        <v>66</v>
      </c>
      <c r="D52" s="49">
        <v>125</v>
      </c>
      <c r="E52" s="53"/>
      <c r="F52" s="53"/>
    </row>
    <row r="53" spans="1:8">
      <c r="A53" s="51" t="s">
        <v>385</v>
      </c>
      <c r="B53" s="38" t="s">
        <v>386</v>
      </c>
      <c r="C53" s="41" t="s">
        <v>12</v>
      </c>
      <c r="D53" s="49">
        <v>1</v>
      </c>
      <c r="E53" s="53"/>
      <c r="F53" s="53"/>
    </row>
    <row r="54" spans="1:8">
      <c r="A54" s="51" t="s">
        <v>387</v>
      </c>
      <c r="B54" s="38" t="s">
        <v>388</v>
      </c>
      <c r="C54" s="41" t="s">
        <v>66</v>
      </c>
      <c r="D54" s="49">
        <v>78.75</v>
      </c>
      <c r="E54" s="53"/>
      <c r="F54" s="53"/>
    </row>
    <row r="55" spans="1:8">
      <c r="A55" s="51" t="s">
        <v>389</v>
      </c>
      <c r="B55" s="38" t="s">
        <v>390</v>
      </c>
      <c r="C55" s="41" t="s">
        <v>66</v>
      </c>
      <c r="D55" s="49">
        <v>86.25</v>
      </c>
      <c r="E55" s="53"/>
      <c r="F55" s="53"/>
    </row>
    <row r="56" spans="1:8">
      <c r="A56" s="157">
        <v>4.2</v>
      </c>
      <c r="B56" s="55" t="s">
        <v>69</v>
      </c>
      <c r="C56" s="43"/>
      <c r="D56" s="37"/>
      <c r="E56" s="44"/>
      <c r="F56" s="40"/>
    </row>
    <row r="57" spans="1:8" s="170" customFormat="1" ht="39.6">
      <c r="A57" s="51" t="s">
        <v>70</v>
      </c>
      <c r="B57" s="38" t="s">
        <v>391</v>
      </c>
      <c r="C57" s="49" t="s">
        <v>17</v>
      </c>
      <c r="D57" s="37">
        <f>473.76*1.05</f>
        <v>497.44800000000004</v>
      </c>
      <c r="E57" s="53"/>
      <c r="F57" s="53"/>
    </row>
    <row r="58" spans="1:8" s="170" customFormat="1">
      <c r="A58" s="51" t="s">
        <v>72</v>
      </c>
      <c r="B58" s="38" t="s">
        <v>392</v>
      </c>
      <c r="C58" s="49" t="s">
        <v>66</v>
      </c>
      <c r="D58" s="37">
        <v>98</v>
      </c>
      <c r="E58" s="53"/>
      <c r="F58" s="53"/>
      <c r="G58" s="279"/>
      <c r="H58" s="278"/>
    </row>
    <row r="59" spans="1:8">
      <c r="A59" s="157">
        <v>4.3</v>
      </c>
      <c r="B59" s="55" t="s">
        <v>74</v>
      </c>
      <c r="C59" s="43"/>
      <c r="D59" s="37"/>
      <c r="E59" s="44"/>
      <c r="F59" s="40"/>
    </row>
    <row r="60" spans="1:8" ht="26.45">
      <c r="A60" s="51" t="s">
        <v>393</v>
      </c>
      <c r="B60" s="200" t="s">
        <v>394</v>
      </c>
      <c r="C60" s="49" t="s">
        <v>17</v>
      </c>
      <c r="D60" s="37">
        <v>167.63</v>
      </c>
      <c r="E60" s="53"/>
      <c r="F60" s="53"/>
    </row>
    <row r="61" spans="1:8">
      <c r="A61" s="51"/>
      <c r="B61" s="18" t="s">
        <v>77</v>
      </c>
      <c r="C61" s="41"/>
      <c r="D61" s="52"/>
      <c r="E61" s="53"/>
      <c r="F61" s="76">
        <f>SUM(F51:F60)</f>
        <v>0</v>
      </c>
    </row>
    <row r="62" spans="1:8">
      <c r="A62" s="319"/>
      <c r="B62" s="320"/>
      <c r="C62" s="320"/>
      <c r="D62" s="320"/>
      <c r="E62" s="320"/>
      <c r="F62" s="321"/>
    </row>
    <row r="63" spans="1:8" s="170" customFormat="1">
      <c r="A63" s="184" t="s">
        <v>78</v>
      </c>
      <c r="B63" s="185" t="s">
        <v>79</v>
      </c>
      <c r="C63" s="13"/>
      <c r="D63" s="186"/>
      <c r="E63" s="182"/>
      <c r="F63" s="65"/>
    </row>
    <row r="64" spans="1:8" s="170" customFormat="1">
      <c r="A64" s="13">
        <v>5.0999999999999996</v>
      </c>
      <c r="B64" s="55" t="s">
        <v>80</v>
      </c>
      <c r="C64" s="56"/>
      <c r="D64" s="52"/>
      <c r="E64" s="57"/>
      <c r="F64" s="58"/>
    </row>
    <row r="65" spans="1:6" s="170" customFormat="1" ht="26.45">
      <c r="A65" s="51" t="s">
        <v>81</v>
      </c>
      <c r="B65" s="59" t="s">
        <v>395</v>
      </c>
      <c r="C65" s="41"/>
      <c r="D65" s="52"/>
      <c r="E65" s="53"/>
      <c r="F65" s="53"/>
    </row>
    <row r="66" spans="1:6" s="170" customFormat="1">
      <c r="A66" s="51"/>
      <c r="B66" s="60" t="s">
        <v>396</v>
      </c>
      <c r="C66" s="41" t="s">
        <v>59</v>
      </c>
      <c r="D66" s="52">
        <v>5</v>
      </c>
      <c r="E66" s="53"/>
      <c r="F66" s="53"/>
    </row>
    <row r="67" spans="1:6" s="170" customFormat="1">
      <c r="A67" s="51"/>
      <c r="B67" s="60" t="s">
        <v>397</v>
      </c>
      <c r="C67" s="41" t="s">
        <v>59</v>
      </c>
      <c r="D67" s="52">
        <v>2</v>
      </c>
      <c r="E67" s="53"/>
      <c r="F67" s="53"/>
    </row>
    <row r="68" spans="1:6" s="170" customFormat="1">
      <c r="A68" s="51"/>
      <c r="B68" s="60" t="s">
        <v>398</v>
      </c>
      <c r="C68" s="41" t="s">
        <v>59</v>
      </c>
      <c r="D68" s="52">
        <v>1</v>
      </c>
      <c r="E68" s="53"/>
      <c r="F68" s="53"/>
    </row>
    <row r="69" spans="1:6" s="170" customFormat="1">
      <c r="A69" s="51"/>
      <c r="B69" s="60"/>
      <c r="C69" s="41"/>
      <c r="D69" s="52"/>
      <c r="E69" s="53"/>
      <c r="F69" s="53"/>
    </row>
    <row r="70" spans="1:6" s="170" customFormat="1" ht="26.45">
      <c r="A70" s="51" t="s">
        <v>399</v>
      </c>
      <c r="B70" s="59" t="s">
        <v>400</v>
      </c>
      <c r="C70" s="41"/>
      <c r="D70" s="52"/>
      <c r="E70" s="53"/>
      <c r="F70" s="53"/>
    </row>
    <row r="71" spans="1:6" s="170" customFormat="1">
      <c r="A71" s="51"/>
      <c r="B71" s="60" t="s">
        <v>401</v>
      </c>
      <c r="C71" s="41" t="s">
        <v>59</v>
      </c>
      <c r="D71" s="52">
        <v>1</v>
      </c>
      <c r="E71" s="53"/>
      <c r="F71" s="53"/>
    </row>
    <row r="72" spans="1:6" s="170" customFormat="1">
      <c r="A72" s="51"/>
      <c r="B72" s="60" t="s">
        <v>127</v>
      </c>
      <c r="C72" s="41" t="s">
        <v>59</v>
      </c>
      <c r="D72" s="52">
        <v>4</v>
      </c>
      <c r="E72" s="53"/>
      <c r="F72" s="53"/>
    </row>
    <row r="73" spans="1:6" s="170" customFormat="1">
      <c r="A73" s="51"/>
      <c r="B73" s="60"/>
      <c r="C73" s="41"/>
      <c r="D73" s="52"/>
      <c r="E73" s="53"/>
      <c r="F73" s="53"/>
    </row>
    <row r="74" spans="1:6" s="170" customFormat="1" ht="26.45">
      <c r="A74" s="51" t="s">
        <v>95</v>
      </c>
      <c r="B74" s="59" t="s">
        <v>402</v>
      </c>
      <c r="C74" s="41"/>
      <c r="D74" s="52"/>
      <c r="E74" s="53"/>
      <c r="F74" s="53"/>
    </row>
    <row r="75" spans="1:6" s="170" customFormat="1">
      <c r="A75" s="51"/>
      <c r="B75" s="60" t="s">
        <v>403</v>
      </c>
      <c r="C75" s="41" t="s">
        <v>59</v>
      </c>
      <c r="D75" s="52">
        <v>1</v>
      </c>
      <c r="E75" s="53"/>
      <c r="F75" s="53"/>
    </row>
    <row r="76" spans="1:6" s="170" customFormat="1">
      <c r="A76" s="51"/>
      <c r="B76" s="60" t="s">
        <v>404</v>
      </c>
      <c r="C76" s="41" t="s">
        <v>59</v>
      </c>
      <c r="D76" s="52">
        <v>1</v>
      </c>
      <c r="E76" s="53"/>
      <c r="F76" s="53"/>
    </row>
    <row r="77" spans="1:6" s="170" customFormat="1">
      <c r="A77" s="51"/>
      <c r="B77" s="60" t="s">
        <v>405</v>
      </c>
      <c r="C77" s="41" t="s">
        <v>59</v>
      </c>
      <c r="D77" s="52">
        <v>1</v>
      </c>
      <c r="E77" s="53"/>
      <c r="F77" s="53"/>
    </row>
    <row r="78" spans="1:6" s="170" customFormat="1">
      <c r="A78" s="51"/>
      <c r="B78" s="60" t="s">
        <v>403</v>
      </c>
      <c r="C78" s="41" t="s">
        <v>59</v>
      </c>
      <c r="D78" s="52">
        <v>2</v>
      </c>
      <c r="E78" s="53"/>
      <c r="F78" s="53"/>
    </row>
    <row r="79" spans="1:6" s="170" customFormat="1">
      <c r="A79" s="51"/>
      <c r="B79" s="60" t="s">
        <v>94</v>
      </c>
      <c r="C79" s="41" t="s">
        <v>59</v>
      </c>
      <c r="D79" s="52">
        <v>7</v>
      </c>
      <c r="E79" s="53"/>
      <c r="F79" s="53"/>
    </row>
    <row r="80" spans="1:6" s="170" customFormat="1">
      <c r="A80" s="13"/>
      <c r="B80" s="61" t="s">
        <v>84</v>
      </c>
      <c r="C80" s="13"/>
      <c r="D80" s="62"/>
      <c r="E80" s="63"/>
      <c r="F80" s="64">
        <f>SUM(F66:F79)</f>
        <v>0</v>
      </c>
    </row>
    <row r="81" spans="1:6">
      <c r="A81" s="120"/>
      <c r="B81" s="173"/>
      <c r="C81" s="120"/>
      <c r="D81" s="174"/>
      <c r="E81" s="175"/>
      <c r="F81" s="172"/>
    </row>
    <row r="82" spans="1:6" s="170" customFormat="1">
      <c r="A82" s="13">
        <v>5.2</v>
      </c>
      <c r="B82" s="66" t="s">
        <v>85</v>
      </c>
      <c r="C82" s="67"/>
      <c r="D82" s="52"/>
      <c r="E82" s="57"/>
      <c r="F82" s="57"/>
    </row>
    <row r="83" spans="1:6" s="170" customFormat="1" ht="26.45">
      <c r="A83" s="51" t="s">
        <v>86</v>
      </c>
      <c r="B83" s="59" t="s">
        <v>406</v>
      </c>
      <c r="C83" s="41"/>
      <c r="D83" s="52"/>
      <c r="E83" s="53"/>
      <c r="F83" s="53"/>
    </row>
    <row r="84" spans="1:6" s="170" customFormat="1">
      <c r="A84" s="51"/>
      <c r="B84" s="60" t="s">
        <v>88</v>
      </c>
      <c r="C84" s="41" t="s">
        <v>59</v>
      </c>
      <c r="D84" s="52">
        <v>18</v>
      </c>
      <c r="E84" s="53"/>
      <c r="F84" s="53"/>
    </row>
    <row r="85" spans="1:6" s="170" customFormat="1">
      <c r="A85" s="51"/>
      <c r="B85" s="60" t="s">
        <v>89</v>
      </c>
      <c r="C85" s="41" t="s">
        <v>59</v>
      </c>
      <c r="D85" s="52">
        <v>9</v>
      </c>
      <c r="E85" s="53"/>
      <c r="F85" s="53"/>
    </row>
    <row r="86" spans="1:6" s="170" customFormat="1">
      <c r="A86" s="51"/>
      <c r="B86" s="60" t="s">
        <v>90</v>
      </c>
      <c r="C86" s="41" t="s">
        <v>59</v>
      </c>
      <c r="D86" s="52">
        <v>6</v>
      </c>
      <c r="E86" s="53"/>
      <c r="F86" s="53"/>
    </row>
    <row r="87" spans="1:6" s="170" customFormat="1">
      <c r="A87" s="68"/>
      <c r="B87" s="61" t="s">
        <v>122</v>
      </c>
      <c r="C87" s="15"/>
      <c r="D87" s="52"/>
      <c r="E87" s="69"/>
      <c r="F87" s="64">
        <f>SUM(F84:F86)</f>
        <v>0</v>
      </c>
    </row>
    <row r="88" spans="1:6">
      <c r="A88" s="130"/>
      <c r="B88" s="130"/>
      <c r="C88" s="131"/>
      <c r="D88" s="93"/>
      <c r="E88" s="133"/>
      <c r="F88" s="126"/>
    </row>
    <row r="89" spans="1:6">
      <c r="A89" s="13">
        <v>5.3</v>
      </c>
      <c r="B89" s="66" t="s">
        <v>123</v>
      </c>
      <c r="C89" s="67"/>
      <c r="D89" s="52"/>
      <c r="E89" s="57"/>
      <c r="F89" s="57"/>
    </row>
    <row r="90" spans="1:6" ht="26.45">
      <c r="A90" s="67" t="s">
        <v>124</v>
      </c>
      <c r="B90" s="70" t="s">
        <v>159</v>
      </c>
      <c r="C90" s="71"/>
      <c r="D90" s="72"/>
      <c r="E90" s="53"/>
      <c r="F90" s="53"/>
    </row>
    <row r="91" spans="1:6">
      <c r="A91" s="67"/>
      <c r="B91" s="60" t="s">
        <v>404</v>
      </c>
      <c r="C91" s="41" t="s">
        <v>59</v>
      </c>
      <c r="D91" s="52">
        <v>1</v>
      </c>
      <c r="E91" s="53"/>
      <c r="F91" s="53"/>
    </row>
    <row r="92" spans="1:6">
      <c r="A92" s="67"/>
      <c r="B92" s="60" t="s">
        <v>407</v>
      </c>
      <c r="C92" s="41" t="s">
        <v>59</v>
      </c>
      <c r="D92" s="52">
        <v>1</v>
      </c>
      <c r="E92" s="53"/>
      <c r="F92" s="53"/>
    </row>
    <row r="93" spans="1:6">
      <c r="A93" s="68"/>
      <c r="B93" s="61" t="s">
        <v>167</v>
      </c>
      <c r="C93" s="15"/>
      <c r="D93" s="52"/>
      <c r="E93" s="69"/>
      <c r="F93" s="64">
        <f>SUM(F91:F92)</f>
        <v>0</v>
      </c>
    </row>
    <row r="94" spans="1:6">
      <c r="A94" s="187"/>
      <c r="B94" s="61" t="s">
        <v>168</v>
      </c>
      <c r="C94" s="13"/>
      <c r="D94" s="186"/>
      <c r="E94" s="182"/>
      <c r="F94" s="64">
        <f>SUM(F93,F87,F80)</f>
        <v>0</v>
      </c>
    </row>
    <row r="95" spans="1:6">
      <c r="A95" s="316"/>
      <c r="B95" s="317"/>
      <c r="C95" s="317"/>
      <c r="D95" s="317"/>
      <c r="E95" s="317"/>
      <c r="F95" s="318"/>
    </row>
    <row r="96" spans="1:6">
      <c r="A96" s="68" t="s">
        <v>169</v>
      </c>
      <c r="B96" s="98" t="s">
        <v>170</v>
      </c>
      <c r="C96" s="56"/>
      <c r="D96" s="52"/>
      <c r="E96" s="57"/>
      <c r="F96" s="58"/>
    </row>
    <row r="97" spans="1:6" ht="26.45">
      <c r="A97" s="15">
        <v>6.1</v>
      </c>
      <c r="B97" s="74" t="s">
        <v>171</v>
      </c>
      <c r="C97" s="56" t="s">
        <v>17</v>
      </c>
      <c r="D97" s="52">
        <f>165.55+254.38*0.1</f>
        <v>190.988</v>
      </c>
      <c r="E97" s="57"/>
      <c r="F97" s="53"/>
    </row>
    <row r="98" spans="1:6" ht="26.45">
      <c r="A98" s="15">
        <v>6.2</v>
      </c>
      <c r="B98" s="74" t="s">
        <v>408</v>
      </c>
      <c r="C98" s="56" t="s">
        <v>17</v>
      </c>
      <c r="D98" s="52">
        <f>149.5*1.05</f>
        <v>156.97499999999999</v>
      </c>
      <c r="E98" s="57"/>
      <c r="F98" s="53"/>
    </row>
    <row r="99" spans="1:6">
      <c r="A99" s="15">
        <v>6.3</v>
      </c>
      <c r="B99" s="74" t="s">
        <v>409</v>
      </c>
      <c r="C99" s="56" t="s">
        <v>17</v>
      </c>
      <c r="D99" s="52">
        <f>544.59</f>
        <v>544.59</v>
      </c>
      <c r="E99" s="57"/>
      <c r="F99" s="53"/>
    </row>
    <row r="100" spans="1:6" ht="26.45">
      <c r="A100" s="15">
        <v>6.4</v>
      </c>
      <c r="B100" s="74" t="s">
        <v>173</v>
      </c>
      <c r="C100" s="56" t="s">
        <v>17</v>
      </c>
      <c r="D100" s="52">
        <f>21.31+59.06*1</f>
        <v>80.37</v>
      </c>
      <c r="E100" s="57"/>
      <c r="F100" s="53"/>
    </row>
    <row r="101" spans="1:6">
      <c r="A101" s="15">
        <v>6.5</v>
      </c>
      <c r="B101" s="74" t="s">
        <v>410</v>
      </c>
      <c r="C101" s="56" t="s">
        <v>17</v>
      </c>
      <c r="D101" s="52">
        <f>220.42</f>
        <v>220.42</v>
      </c>
      <c r="E101" s="57"/>
      <c r="F101" s="53"/>
    </row>
    <row r="102" spans="1:6">
      <c r="A102" s="56"/>
      <c r="B102" s="61" t="s">
        <v>175</v>
      </c>
      <c r="C102" s="56"/>
      <c r="D102" s="52"/>
      <c r="E102" s="75"/>
      <c r="F102" s="76">
        <f>SUM(F97:F101)</f>
        <v>0</v>
      </c>
    </row>
    <row r="103" spans="1:6">
      <c r="A103" s="310"/>
      <c r="B103" s="311"/>
      <c r="C103" s="311"/>
      <c r="D103" s="311"/>
      <c r="E103" s="311"/>
      <c r="F103" s="312"/>
    </row>
    <row r="104" spans="1:6">
      <c r="A104" s="68" t="s">
        <v>176</v>
      </c>
      <c r="B104" s="99" t="s">
        <v>177</v>
      </c>
      <c r="C104" s="74"/>
      <c r="D104" s="74"/>
      <c r="E104" s="74"/>
      <c r="F104" s="74"/>
    </row>
    <row r="105" spans="1:6">
      <c r="A105" s="73">
        <v>7.1</v>
      </c>
      <c r="B105" s="74" t="s">
        <v>178</v>
      </c>
      <c r="C105" s="56" t="s">
        <v>17</v>
      </c>
      <c r="D105" s="52">
        <f>D44</f>
        <v>310.35000000000002</v>
      </c>
      <c r="E105" s="57"/>
      <c r="F105" s="53"/>
    </row>
    <row r="106" spans="1:6">
      <c r="A106" s="73">
        <v>7.2</v>
      </c>
      <c r="B106" s="74" t="s">
        <v>179</v>
      </c>
      <c r="C106" s="56" t="s">
        <v>17</v>
      </c>
      <c r="D106" s="52">
        <f>D101</f>
        <v>220.42</v>
      </c>
      <c r="E106" s="57"/>
      <c r="F106" s="53"/>
    </row>
    <row r="107" spans="1:6">
      <c r="A107" s="73">
        <v>7.3</v>
      </c>
      <c r="B107" s="74" t="s">
        <v>180</v>
      </c>
      <c r="C107" s="56" t="s">
        <v>17</v>
      </c>
      <c r="D107" s="52">
        <f>D43*1.2</f>
        <v>116.6544</v>
      </c>
      <c r="E107" s="57"/>
      <c r="F107" s="53"/>
    </row>
    <row r="108" spans="1:6">
      <c r="A108" s="73">
        <v>7.4</v>
      </c>
      <c r="B108" s="74" t="s">
        <v>181</v>
      </c>
      <c r="C108" s="56" t="s">
        <v>12</v>
      </c>
      <c r="D108" s="52">
        <v>1</v>
      </c>
      <c r="E108" s="57"/>
      <c r="F108" s="53"/>
    </row>
    <row r="109" spans="1:6">
      <c r="A109" s="56"/>
      <c r="B109" s="61" t="s">
        <v>182</v>
      </c>
      <c r="C109" s="56"/>
      <c r="D109" s="52"/>
      <c r="E109" s="57"/>
      <c r="F109" s="64">
        <f>SUM(F105:F108)</f>
        <v>0</v>
      </c>
    </row>
    <row r="110" spans="1:6" s="179" customFormat="1">
      <c r="A110" s="326"/>
      <c r="B110" s="327"/>
      <c r="C110" s="327"/>
      <c r="D110" s="327"/>
      <c r="E110" s="327"/>
      <c r="F110" s="328"/>
    </row>
    <row r="111" spans="1:6" s="179" customFormat="1">
      <c r="A111" s="86" t="s">
        <v>183</v>
      </c>
      <c r="B111" s="88" t="s">
        <v>184</v>
      </c>
      <c r="C111" s="90"/>
      <c r="D111" s="91"/>
      <c r="E111" s="92"/>
      <c r="F111" s="92"/>
    </row>
    <row r="112" spans="1:6" s="179" customFormat="1" ht="27">
      <c r="A112" s="86">
        <v>8.1</v>
      </c>
      <c r="B112" s="140" t="s">
        <v>411</v>
      </c>
      <c r="C112" s="86"/>
      <c r="D112" s="141"/>
      <c r="E112" s="61"/>
      <c r="F112" s="76"/>
    </row>
    <row r="113" spans="1:6" s="179" customFormat="1" ht="26.45">
      <c r="A113" s="81" t="s">
        <v>186</v>
      </c>
      <c r="B113" s="38" t="s">
        <v>412</v>
      </c>
      <c r="C113" s="81" t="s">
        <v>12</v>
      </c>
      <c r="D113" s="49">
        <v>1</v>
      </c>
      <c r="E113" s="144"/>
      <c r="F113" s="53"/>
    </row>
    <row r="114" spans="1:6" s="179" customFormat="1">
      <c r="A114" s="81" t="s">
        <v>188</v>
      </c>
      <c r="B114" s="82" t="s">
        <v>189</v>
      </c>
      <c r="C114" s="81" t="s">
        <v>59</v>
      </c>
      <c r="D114" s="49">
        <v>4</v>
      </c>
      <c r="E114" s="144"/>
      <c r="F114" s="53"/>
    </row>
    <row r="115" spans="1:6" s="179" customFormat="1">
      <c r="A115" s="176"/>
      <c r="B115" s="61" t="s">
        <v>190</v>
      </c>
      <c r="C115" s="86"/>
      <c r="D115" s="141"/>
      <c r="E115" s="61"/>
      <c r="F115" s="64">
        <f>SUM(F113:F114)</f>
        <v>0</v>
      </c>
    </row>
    <row r="116" spans="1:6" s="179" customFormat="1">
      <c r="A116" s="176"/>
      <c r="B116" s="177"/>
      <c r="C116" s="176"/>
      <c r="D116" s="178"/>
      <c r="E116" s="173"/>
      <c r="F116" s="171"/>
    </row>
    <row r="117" spans="1:6" s="179" customFormat="1" ht="40.15">
      <c r="A117" s="86">
        <v>8.1999999999999993</v>
      </c>
      <c r="B117" s="140" t="s">
        <v>191</v>
      </c>
      <c r="C117" s="192" t="s">
        <v>192</v>
      </c>
      <c r="D117" s="193"/>
      <c r="E117" s="61"/>
      <c r="F117" s="194"/>
    </row>
    <row r="118" spans="1:6" s="179" customFormat="1">
      <c r="A118" s="81" t="s">
        <v>193</v>
      </c>
      <c r="B118" s="167" t="s">
        <v>413</v>
      </c>
      <c r="C118" s="166" t="s">
        <v>210</v>
      </c>
      <c r="D118" s="169">
        <v>1</v>
      </c>
      <c r="E118" s="57"/>
      <c r="F118" s="53"/>
    </row>
    <row r="119" spans="1:6" s="179" customFormat="1">
      <c r="A119" s="81" t="s">
        <v>195</v>
      </c>
      <c r="B119" s="167" t="s">
        <v>414</v>
      </c>
      <c r="C119" s="166" t="s">
        <v>210</v>
      </c>
      <c r="D119" s="169">
        <v>1</v>
      </c>
      <c r="E119" s="57"/>
      <c r="F119" s="53"/>
    </row>
    <row r="120" spans="1:6" s="179" customFormat="1" ht="15.6">
      <c r="A120" s="195"/>
      <c r="B120" s="61" t="s">
        <v>205</v>
      </c>
      <c r="C120" s="196" t="s">
        <v>192</v>
      </c>
      <c r="D120" s="197"/>
      <c r="E120" s="61"/>
      <c r="F120" s="64">
        <f>SUM(F118:F119)</f>
        <v>0</v>
      </c>
    </row>
    <row r="121" spans="1:6" s="179" customFormat="1">
      <c r="A121" s="176"/>
      <c r="B121" s="34"/>
      <c r="C121" s="176"/>
      <c r="D121" s="178"/>
      <c r="E121" s="173"/>
      <c r="F121" s="171"/>
    </row>
    <row r="122" spans="1:6" s="179" customFormat="1" ht="15.6">
      <c r="A122" s="86">
        <v>8.3000000000000007</v>
      </c>
      <c r="B122" s="140" t="s">
        <v>206</v>
      </c>
      <c r="C122" s="198"/>
      <c r="D122" s="199"/>
      <c r="E122" s="61"/>
      <c r="F122" s="76"/>
    </row>
    <row r="123" spans="1:6" s="179" customFormat="1" ht="40.15">
      <c r="A123" s="158" t="s">
        <v>207</v>
      </c>
      <c r="B123" s="140" t="s">
        <v>208</v>
      </c>
      <c r="C123" s="198"/>
      <c r="D123" s="199"/>
      <c r="E123" s="61"/>
      <c r="F123" s="76"/>
    </row>
    <row r="124" spans="1:6" s="179" customFormat="1">
      <c r="A124" s="73" t="s">
        <v>209</v>
      </c>
      <c r="B124" s="167" t="s">
        <v>415</v>
      </c>
      <c r="C124" s="166" t="s">
        <v>210</v>
      </c>
      <c r="D124" s="169">
        <v>1</v>
      </c>
      <c r="E124" s="113"/>
      <c r="F124" s="168"/>
    </row>
    <row r="125" spans="1:6" s="179" customFormat="1">
      <c r="A125" s="86"/>
      <c r="B125" s="61" t="s">
        <v>211</v>
      </c>
      <c r="C125" s="86"/>
      <c r="D125" s="141"/>
      <c r="E125" s="61"/>
      <c r="F125" s="76">
        <f>F124</f>
        <v>0</v>
      </c>
    </row>
    <row r="126" spans="1:6" s="179" customFormat="1">
      <c r="A126" s="86"/>
      <c r="B126" s="61" t="s">
        <v>212</v>
      </c>
      <c r="C126" s="90"/>
      <c r="D126" s="91"/>
      <c r="E126" s="61"/>
      <c r="F126" s="64">
        <f>SUM(F125,F120,F115)</f>
        <v>0</v>
      </c>
    </row>
    <row r="127" spans="1:6">
      <c r="A127" s="313"/>
      <c r="B127" s="314"/>
      <c r="C127" s="314"/>
      <c r="D127" s="314"/>
      <c r="E127" s="314"/>
      <c r="F127" s="315"/>
    </row>
    <row r="128" spans="1:6">
      <c r="A128" s="86" t="s">
        <v>213</v>
      </c>
      <c r="B128" s="88" t="s">
        <v>214</v>
      </c>
      <c r="C128" s="84"/>
      <c r="D128" s="85"/>
      <c r="E128" s="57"/>
      <c r="F128" s="87"/>
    </row>
    <row r="129" spans="1:6" ht="27">
      <c r="A129" s="86">
        <v>9.1</v>
      </c>
      <c r="B129" s="140" t="s">
        <v>215</v>
      </c>
      <c r="C129" s="84"/>
      <c r="D129" s="85"/>
      <c r="E129" s="57"/>
      <c r="F129" s="87"/>
    </row>
    <row r="130" spans="1:6" ht="39.6">
      <c r="A130" s="81" t="s">
        <v>216</v>
      </c>
      <c r="B130" s="38" t="s">
        <v>416</v>
      </c>
      <c r="C130" s="81" t="s">
        <v>59</v>
      </c>
      <c r="D130" s="49">
        <v>4</v>
      </c>
      <c r="E130" s="144"/>
      <c r="F130" s="53"/>
    </row>
    <row r="131" spans="1:6" ht="26.45">
      <c r="A131" s="81" t="s">
        <v>218</v>
      </c>
      <c r="B131" s="38" t="s">
        <v>417</v>
      </c>
      <c r="C131" s="81" t="s">
        <v>59</v>
      </c>
      <c r="D131" s="49">
        <v>4</v>
      </c>
      <c r="E131" s="144"/>
      <c r="F131" s="53"/>
    </row>
    <row r="132" spans="1:6" ht="26.45">
      <c r="A132" s="81" t="s">
        <v>220</v>
      </c>
      <c r="B132" s="38" t="s">
        <v>418</v>
      </c>
      <c r="C132" s="84" t="s">
        <v>59</v>
      </c>
      <c r="D132" s="49">
        <v>4</v>
      </c>
      <c r="E132" s="144"/>
      <c r="F132" s="53"/>
    </row>
    <row r="133" spans="1:6">
      <c r="A133" s="81" t="s">
        <v>222</v>
      </c>
      <c r="B133" s="82" t="s">
        <v>419</v>
      </c>
      <c r="C133" s="81" t="s">
        <v>59</v>
      </c>
      <c r="D133" s="49">
        <v>4</v>
      </c>
      <c r="E133" s="144"/>
      <c r="F133" s="53"/>
    </row>
    <row r="134" spans="1:6">
      <c r="A134" s="81" t="s">
        <v>224</v>
      </c>
      <c r="B134" s="82" t="s">
        <v>420</v>
      </c>
      <c r="C134" s="84" t="s">
        <v>59</v>
      </c>
      <c r="D134" s="145">
        <v>4</v>
      </c>
      <c r="E134" s="144"/>
      <c r="F134" s="53"/>
    </row>
    <row r="135" spans="1:6">
      <c r="A135" s="86"/>
      <c r="B135" s="89" t="s">
        <v>234</v>
      </c>
      <c r="C135" s="90"/>
      <c r="D135" s="91"/>
      <c r="E135" s="57"/>
      <c r="F135" s="64">
        <f>SUM(F130:F134)</f>
        <v>0</v>
      </c>
    </row>
    <row r="136" spans="1:6">
      <c r="A136" s="86">
        <v>9.1999999999999993</v>
      </c>
      <c r="B136" s="88" t="s">
        <v>235</v>
      </c>
      <c r="C136" s="84"/>
      <c r="D136" s="85"/>
      <c r="E136" s="57"/>
      <c r="F136" s="87"/>
    </row>
    <row r="137" spans="1:6">
      <c r="A137" s="81" t="s">
        <v>238</v>
      </c>
      <c r="B137" s="82" t="s">
        <v>239</v>
      </c>
      <c r="C137" s="84" t="s">
        <v>59</v>
      </c>
      <c r="D137" s="145">
        <v>4</v>
      </c>
      <c r="E137" s="144"/>
      <c r="F137" s="53"/>
    </row>
    <row r="138" spans="1:6">
      <c r="A138" s="81" t="s">
        <v>240</v>
      </c>
      <c r="B138" s="82" t="s">
        <v>421</v>
      </c>
      <c r="C138" s="84" t="s">
        <v>59</v>
      </c>
      <c r="D138" s="145">
        <v>4</v>
      </c>
      <c r="E138" s="144"/>
      <c r="F138" s="53"/>
    </row>
    <row r="139" spans="1:6">
      <c r="A139" s="81" t="s">
        <v>242</v>
      </c>
      <c r="B139" s="82" t="s">
        <v>245</v>
      </c>
      <c r="C139" s="84" t="s">
        <v>59</v>
      </c>
      <c r="D139" s="145">
        <v>4</v>
      </c>
      <c r="E139" s="144"/>
      <c r="F139" s="53"/>
    </row>
    <row r="140" spans="1:6">
      <c r="A140" s="81" t="s">
        <v>244</v>
      </c>
      <c r="B140" s="82" t="s">
        <v>247</v>
      </c>
      <c r="C140" s="84" t="s">
        <v>59</v>
      </c>
      <c r="D140" s="145">
        <v>4</v>
      </c>
      <c r="E140" s="144"/>
      <c r="F140" s="53"/>
    </row>
    <row r="141" spans="1:6">
      <c r="A141" s="81" t="s">
        <v>246</v>
      </c>
      <c r="B141" s="82" t="s">
        <v>249</v>
      </c>
      <c r="C141" s="84" t="s">
        <v>59</v>
      </c>
      <c r="D141" s="145">
        <v>11</v>
      </c>
      <c r="E141" s="144"/>
      <c r="F141" s="53"/>
    </row>
    <row r="142" spans="1:6">
      <c r="A142" s="86"/>
      <c r="B142" s="89" t="s">
        <v>250</v>
      </c>
      <c r="C142" s="90"/>
      <c r="D142" s="91"/>
      <c r="E142" s="57"/>
      <c r="F142" s="64">
        <f>SUM(F137:F141)</f>
        <v>0</v>
      </c>
    </row>
    <row r="143" spans="1:6">
      <c r="A143" s="81"/>
      <c r="B143" s="61" t="s">
        <v>251</v>
      </c>
      <c r="C143" s="84"/>
      <c r="D143" s="85"/>
      <c r="E143" s="57"/>
      <c r="F143" s="76">
        <f>SUM(F142,F135)</f>
        <v>0</v>
      </c>
    </row>
    <row r="144" spans="1:6">
      <c r="A144" s="23"/>
      <c r="B144" s="21"/>
      <c r="C144" s="24"/>
      <c r="D144" s="25"/>
      <c r="E144" s="20"/>
      <c r="F144" s="22"/>
    </row>
    <row r="145" spans="1:6" ht="26.45">
      <c r="A145" s="13" t="s">
        <v>252</v>
      </c>
      <c r="B145" s="59" t="s">
        <v>253</v>
      </c>
      <c r="C145" s="41"/>
      <c r="D145" s="93"/>
      <c r="E145" s="57"/>
      <c r="F145" s="94"/>
    </row>
    <row r="146" spans="1:6">
      <c r="A146" s="120"/>
      <c r="B146" s="34"/>
      <c r="C146" s="121"/>
      <c r="D146" s="93"/>
      <c r="E146" s="57"/>
      <c r="F146" s="94"/>
    </row>
    <row r="147" spans="1:6">
      <c r="A147" s="104">
        <v>10.1</v>
      </c>
      <c r="B147" s="59" t="s">
        <v>254</v>
      </c>
      <c r="C147" s="35"/>
      <c r="D147" s="122"/>
      <c r="E147" s="57"/>
      <c r="F147" s="123"/>
    </row>
    <row r="148" spans="1:6" ht="26.45">
      <c r="A148" s="41" t="s">
        <v>422</v>
      </c>
      <c r="B148" s="124" t="s">
        <v>423</v>
      </c>
      <c r="C148" s="72" t="s">
        <v>12</v>
      </c>
      <c r="D148" s="72">
        <v>1</v>
      </c>
      <c r="E148" s="57"/>
      <c r="F148" s="53"/>
    </row>
    <row r="149" spans="1:6">
      <c r="A149" s="41" t="s">
        <v>424</v>
      </c>
      <c r="B149" s="124" t="s">
        <v>425</v>
      </c>
      <c r="C149" s="72" t="s">
        <v>12</v>
      </c>
      <c r="D149" s="72">
        <v>1</v>
      </c>
      <c r="E149" s="57"/>
      <c r="F149" s="53"/>
    </row>
    <row r="150" spans="1:6" ht="118.9">
      <c r="A150" s="41" t="s">
        <v>255</v>
      </c>
      <c r="B150" s="124" t="s">
        <v>258</v>
      </c>
      <c r="C150" s="41" t="s">
        <v>12</v>
      </c>
      <c r="D150" s="72">
        <v>1</v>
      </c>
      <c r="E150" s="57"/>
      <c r="F150" s="53"/>
    </row>
    <row r="151" spans="1:6" ht="39.6">
      <c r="A151" s="41" t="s">
        <v>257</v>
      </c>
      <c r="B151" s="124" t="s">
        <v>262</v>
      </c>
      <c r="C151" s="41" t="s">
        <v>59</v>
      </c>
      <c r="D151" s="72">
        <v>1</v>
      </c>
      <c r="E151" s="57"/>
      <c r="F151" s="53"/>
    </row>
    <row r="152" spans="1:6" ht="26.45">
      <c r="A152" s="41" t="s">
        <v>259</v>
      </c>
      <c r="B152" s="124" t="s">
        <v>263</v>
      </c>
      <c r="C152" s="41" t="s">
        <v>59</v>
      </c>
      <c r="D152" s="72">
        <v>1</v>
      </c>
      <c r="E152" s="57"/>
      <c r="F152" s="53"/>
    </row>
    <row r="153" spans="1:6" ht="79.150000000000006">
      <c r="A153" s="41" t="s">
        <v>261</v>
      </c>
      <c r="B153" s="124" t="s">
        <v>264</v>
      </c>
      <c r="C153" s="41" t="s">
        <v>12</v>
      </c>
      <c r="D153" s="72">
        <v>1</v>
      </c>
      <c r="E153" s="57"/>
      <c r="F153" s="53"/>
    </row>
    <row r="154" spans="1:6" ht="52.9">
      <c r="A154" s="41" t="s">
        <v>426</v>
      </c>
      <c r="B154" s="124" t="s">
        <v>427</v>
      </c>
      <c r="C154" s="72" t="s">
        <v>59</v>
      </c>
      <c r="D154" s="72">
        <v>1</v>
      </c>
      <c r="E154" s="57"/>
      <c r="F154" s="53"/>
    </row>
    <row r="155" spans="1:6" ht="26.45">
      <c r="A155" s="41" t="s">
        <v>428</v>
      </c>
      <c r="B155" s="124" t="s">
        <v>429</v>
      </c>
      <c r="C155" s="72" t="s">
        <v>59</v>
      </c>
      <c r="D155" s="72">
        <v>1</v>
      </c>
      <c r="E155" s="57"/>
      <c r="F155" s="53"/>
    </row>
    <row r="156" spans="1:6" ht="26.45">
      <c r="A156" s="41" t="s">
        <v>430</v>
      </c>
      <c r="B156" s="124" t="s">
        <v>431</v>
      </c>
      <c r="C156" s="41" t="s">
        <v>12</v>
      </c>
      <c r="D156" s="72">
        <v>1</v>
      </c>
      <c r="E156" s="57"/>
      <c r="F156" s="53"/>
    </row>
    <row r="157" spans="1:6" ht="26.45">
      <c r="A157" s="41" t="s">
        <v>432</v>
      </c>
      <c r="B157" s="124" t="s">
        <v>433</v>
      </c>
      <c r="C157" s="41" t="s">
        <v>12</v>
      </c>
      <c r="D157" s="72">
        <v>1</v>
      </c>
      <c r="E157" s="57"/>
      <c r="F157" s="53"/>
    </row>
    <row r="158" spans="1:6">
      <c r="A158" s="121"/>
      <c r="B158" s="125" t="s">
        <v>269</v>
      </c>
      <c r="C158" s="41"/>
      <c r="D158" s="52"/>
      <c r="E158" s="57"/>
      <c r="F158" s="64">
        <f>SUM(F148:F157)</f>
        <v>0</v>
      </c>
    </row>
    <row r="159" spans="1:6">
      <c r="A159" s="104">
        <v>10.199999999999999</v>
      </c>
      <c r="B159" s="59" t="s">
        <v>270</v>
      </c>
      <c r="C159" s="41"/>
      <c r="D159" s="52"/>
      <c r="E159" s="57"/>
      <c r="F159" s="76"/>
    </row>
    <row r="160" spans="1:6" ht="66">
      <c r="A160" s="41" t="s">
        <v>271</v>
      </c>
      <c r="B160" s="124" t="s">
        <v>434</v>
      </c>
      <c r="C160" s="72" t="s">
        <v>12</v>
      </c>
      <c r="D160" s="72">
        <v>1</v>
      </c>
      <c r="E160" s="57"/>
      <c r="F160" s="53"/>
    </row>
    <row r="161" spans="1:6" ht="26.45">
      <c r="A161" s="41" t="s">
        <v>435</v>
      </c>
      <c r="B161" s="124" t="s">
        <v>273</v>
      </c>
      <c r="C161" s="72" t="s">
        <v>12</v>
      </c>
      <c r="D161" s="72">
        <v>1</v>
      </c>
      <c r="E161" s="57"/>
      <c r="F161" s="53"/>
    </row>
    <row r="162" spans="1:6" ht="26.45">
      <c r="A162" s="41" t="s">
        <v>436</v>
      </c>
      <c r="B162" s="124" t="s">
        <v>437</v>
      </c>
      <c r="C162" s="72" t="s">
        <v>59</v>
      </c>
      <c r="D162" s="72">
        <v>1</v>
      </c>
      <c r="E162" s="57"/>
      <c r="F162" s="53"/>
    </row>
    <row r="163" spans="1:6" ht="26.45">
      <c r="A163" s="41" t="s">
        <v>438</v>
      </c>
      <c r="B163" s="124" t="s">
        <v>439</v>
      </c>
      <c r="C163" s="72" t="s">
        <v>59</v>
      </c>
      <c r="D163" s="72">
        <v>1</v>
      </c>
      <c r="E163" s="57"/>
      <c r="F163" s="53"/>
    </row>
    <row r="164" spans="1:6">
      <c r="A164" s="41" t="s">
        <v>440</v>
      </c>
      <c r="B164" s="124" t="s">
        <v>441</v>
      </c>
      <c r="C164" s="72" t="s">
        <v>59</v>
      </c>
      <c r="D164" s="72">
        <v>1</v>
      </c>
      <c r="E164" s="57"/>
      <c r="F164" s="53"/>
    </row>
    <row r="165" spans="1:6">
      <c r="A165" s="121"/>
      <c r="B165" s="125" t="s">
        <v>279</v>
      </c>
      <c r="C165" s="41"/>
      <c r="D165" s="52"/>
      <c r="E165" s="57"/>
      <c r="F165" s="64">
        <f>SUM(F160:F164)</f>
        <v>0</v>
      </c>
    </row>
    <row r="166" spans="1:6">
      <c r="A166" s="104">
        <v>10.3</v>
      </c>
      <c r="B166" s="59" t="s">
        <v>280</v>
      </c>
      <c r="C166" s="41"/>
      <c r="D166" s="52"/>
      <c r="E166" s="57"/>
      <c r="F166" s="53"/>
    </row>
    <row r="167" spans="1:6">
      <c r="A167" s="41" t="s">
        <v>281</v>
      </c>
      <c r="B167" s="124" t="s">
        <v>282</v>
      </c>
      <c r="C167" s="41" t="s">
        <v>59</v>
      </c>
      <c r="D167" s="72">
        <v>10</v>
      </c>
      <c r="E167" s="57"/>
      <c r="F167" s="53"/>
    </row>
    <row r="168" spans="1:6">
      <c r="A168" s="41" t="s">
        <v>442</v>
      </c>
      <c r="B168" s="124" t="s">
        <v>443</v>
      </c>
      <c r="C168" s="124" t="s">
        <v>59</v>
      </c>
      <c r="D168" s="124">
        <v>0</v>
      </c>
      <c r="E168" s="124"/>
      <c r="F168" s="124"/>
    </row>
    <row r="169" spans="1:6">
      <c r="A169" s="41" t="s">
        <v>444</v>
      </c>
      <c r="B169" s="124" t="s">
        <v>445</v>
      </c>
      <c r="C169" s="124" t="s">
        <v>59</v>
      </c>
      <c r="D169" s="124">
        <v>0</v>
      </c>
      <c r="E169" s="124"/>
      <c r="F169" s="124"/>
    </row>
    <row r="170" spans="1:6">
      <c r="A170" s="41" t="s">
        <v>446</v>
      </c>
      <c r="B170" s="124" t="s">
        <v>447</v>
      </c>
      <c r="C170" s="41" t="s">
        <v>59</v>
      </c>
      <c r="D170" s="72">
        <f>87+14</f>
        <v>101</v>
      </c>
      <c r="E170" s="57"/>
      <c r="F170" s="53"/>
    </row>
    <row r="171" spans="1:6">
      <c r="A171" s="41" t="s">
        <v>448</v>
      </c>
      <c r="B171" s="124" t="s">
        <v>449</v>
      </c>
      <c r="C171" s="41" t="s">
        <v>59</v>
      </c>
      <c r="D171" s="72">
        <v>4</v>
      </c>
      <c r="E171" s="57"/>
      <c r="F171" s="53"/>
    </row>
    <row r="172" spans="1:6">
      <c r="A172" s="41"/>
      <c r="B172" s="125" t="s">
        <v>286</v>
      </c>
      <c r="C172" s="41"/>
      <c r="D172" s="72"/>
      <c r="E172" s="57"/>
      <c r="F172" s="64">
        <f>SUM(F167:F171)</f>
        <v>0</v>
      </c>
    </row>
    <row r="173" spans="1:6">
      <c r="A173" s="104">
        <v>10.4</v>
      </c>
      <c r="B173" s="59" t="s">
        <v>287</v>
      </c>
      <c r="C173" s="41"/>
      <c r="D173" s="52"/>
      <c r="E173" s="57"/>
      <c r="F173" s="53"/>
    </row>
    <row r="174" spans="1:6">
      <c r="A174" s="41" t="s">
        <v>288</v>
      </c>
      <c r="B174" s="124" t="s">
        <v>289</v>
      </c>
      <c r="C174" s="41" t="s">
        <v>59</v>
      </c>
      <c r="D174" s="72">
        <v>7</v>
      </c>
      <c r="E174" s="57"/>
      <c r="F174" s="53"/>
    </row>
    <row r="175" spans="1:6">
      <c r="A175" s="41" t="s">
        <v>450</v>
      </c>
      <c r="B175" s="124" t="s">
        <v>451</v>
      </c>
      <c r="C175" s="41" t="s">
        <v>59</v>
      </c>
      <c r="D175" s="72">
        <v>10</v>
      </c>
      <c r="E175" s="57"/>
      <c r="F175" s="53"/>
    </row>
    <row r="176" spans="1:6">
      <c r="A176" s="41" t="s">
        <v>452</v>
      </c>
      <c r="B176" s="124" t="s">
        <v>453</v>
      </c>
      <c r="C176" s="41" t="s">
        <v>59</v>
      </c>
      <c r="D176" s="72">
        <v>36</v>
      </c>
      <c r="E176" s="57"/>
      <c r="F176" s="53"/>
    </row>
    <row r="177" spans="1:7">
      <c r="A177" s="41" t="s">
        <v>454</v>
      </c>
      <c r="B177" s="124" t="s">
        <v>455</v>
      </c>
      <c r="C177" s="41" t="s">
        <v>59</v>
      </c>
      <c r="D177" s="72">
        <v>5</v>
      </c>
      <c r="E177" s="57"/>
      <c r="F177" s="53"/>
    </row>
    <row r="178" spans="1:7">
      <c r="A178" s="41" t="s">
        <v>456</v>
      </c>
      <c r="B178" s="124" t="s">
        <v>293</v>
      </c>
      <c r="C178" s="41" t="s">
        <v>59</v>
      </c>
      <c r="D178" s="72">
        <v>12</v>
      </c>
      <c r="E178" s="57"/>
      <c r="F178" s="53"/>
    </row>
    <row r="179" spans="1:7" ht="26.45">
      <c r="A179" s="41" t="s">
        <v>457</v>
      </c>
      <c r="B179" s="124" t="s">
        <v>295</v>
      </c>
      <c r="C179" s="41" t="s">
        <v>59</v>
      </c>
      <c r="D179" s="72">
        <v>13</v>
      </c>
      <c r="E179" s="57"/>
      <c r="F179" s="53"/>
    </row>
    <row r="180" spans="1:7">
      <c r="A180" s="121"/>
      <c r="B180" s="125" t="s">
        <v>297</v>
      </c>
      <c r="C180" s="41"/>
      <c r="D180" s="52"/>
      <c r="E180" s="57"/>
      <c r="F180" s="64">
        <f>SUM(F174:F179)</f>
        <v>0</v>
      </c>
      <c r="G180" s="179"/>
    </row>
    <row r="181" spans="1:7" s="170" customFormat="1">
      <c r="A181" s="35"/>
      <c r="B181" s="35"/>
      <c r="C181" s="35"/>
      <c r="D181" s="122"/>
      <c r="E181" s="173"/>
      <c r="F181" s="126"/>
      <c r="G181" s="183"/>
    </row>
    <row r="182" spans="1:7" s="170" customFormat="1">
      <c r="A182" s="86">
        <v>10.5</v>
      </c>
      <c r="B182" s="127" t="s">
        <v>298</v>
      </c>
      <c r="C182" s="104"/>
      <c r="D182" s="190"/>
      <c r="E182" s="61"/>
      <c r="F182" s="64"/>
      <c r="G182" s="183"/>
    </row>
    <row r="183" spans="1:7" s="170" customFormat="1">
      <c r="A183" s="271" t="s">
        <v>299</v>
      </c>
      <c r="B183" s="258" t="s">
        <v>458</v>
      </c>
      <c r="C183" s="259"/>
      <c r="D183" s="260"/>
      <c r="E183" s="255"/>
      <c r="F183" s="256"/>
      <c r="G183" s="183"/>
    </row>
    <row r="184" spans="1:7" s="170" customFormat="1" ht="39.6">
      <c r="A184" s="257"/>
      <c r="B184" s="258" t="s">
        <v>459</v>
      </c>
      <c r="C184" s="259"/>
      <c r="D184" s="260"/>
      <c r="E184" s="255" t="s">
        <v>460</v>
      </c>
      <c r="F184" s="256" t="s">
        <v>460</v>
      </c>
      <c r="G184" s="183"/>
    </row>
    <row r="185" spans="1:7" s="170" customFormat="1">
      <c r="A185" s="257"/>
      <c r="B185" s="95" t="s">
        <v>300</v>
      </c>
      <c r="C185" s="81" t="s">
        <v>59</v>
      </c>
      <c r="D185" s="96">
        <v>5</v>
      </c>
      <c r="E185" s="57"/>
      <c r="F185" s="53"/>
      <c r="G185" s="183"/>
    </row>
    <row r="186" spans="1:7" s="170" customFormat="1">
      <c r="A186" s="95"/>
      <c r="B186" s="95" t="s">
        <v>461</v>
      </c>
      <c r="C186" s="95" t="s">
        <v>59</v>
      </c>
      <c r="D186" s="95">
        <v>0</v>
      </c>
      <c r="E186" s="95"/>
      <c r="F186" s="95"/>
      <c r="G186" s="183"/>
    </row>
    <row r="187" spans="1:7">
      <c r="A187" s="257"/>
      <c r="B187" s="95" t="s">
        <v>302</v>
      </c>
      <c r="C187" s="81" t="s">
        <v>59</v>
      </c>
      <c r="D187" s="96">
        <v>4</v>
      </c>
      <c r="E187" s="57"/>
      <c r="F187" s="53"/>
      <c r="G187" s="179"/>
    </row>
    <row r="188" spans="1:7">
      <c r="A188" s="262"/>
      <c r="B188" s="270" t="s">
        <v>462</v>
      </c>
      <c r="C188" s="263"/>
      <c r="D188" s="264"/>
      <c r="E188" s="265"/>
      <c r="F188" s="64">
        <f>SUBTOTAL(9,F184:F187)</f>
        <v>0</v>
      </c>
      <c r="G188" s="179"/>
    </row>
    <row r="189" spans="1:7">
      <c r="A189" s="262"/>
      <c r="B189" s="254"/>
      <c r="C189" s="263"/>
      <c r="D189" s="264"/>
      <c r="E189" s="265"/>
      <c r="F189" s="266"/>
    </row>
    <row r="190" spans="1:7">
      <c r="A190" s="271" t="s">
        <v>301</v>
      </c>
      <c r="B190" s="258" t="s">
        <v>463</v>
      </c>
      <c r="C190" s="263"/>
      <c r="D190" s="264"/>
      <c r="E190" s="265"/>
      <c r="F190" s="266"/>
    </row>
    <row r="191" spans="1:7" ht="26.45">
      <c r="A191" s="267"/>
      <c r="B191" s="258" t="s">
        <v>464</v>
      </c>
      <c r="C191" s="259"/>
      <c r="D191" s="268"/>
      <c r="E191" s="269" t="s">
        <v>460</v>
      </c>
      <c r="F191" s="256" t="s">
        <v>460</v>
      </c>
    </row>
    <row r="192" spans="1:7">
      <c r="A192" s="267"/>
      <c r="B192" s="261" t="s">
        <v>465</v>
      </c>
      <c r="C192" s="81" t="s">
        <v>59</v>
      </c>
      <c r="D192" s="260">
        <v>5</v>
      </c>
      <c r="E192" s="57"/>
      <c r="F192" s="53"/>
    </row>
    <row r="193" spans="1:6">
      <c r="A193" s="267"/>
      <c r="B193" s="261" t="s">
        <v>466</v>
      </c>
      <c r="C193" s="259" t="s">
        <v>210</v>
      </c>
      <c r="D193" s="260">
        <v>1</v>
      </c>
      <c r="E193" s="57" t="s">
        <v>467</v>
      </c>
      <c r="F193" s="53"/>
    </row>
    <row r="194" spans="1:6">
      <c r="A194" s="267"/>
      <c r="B194" s="261" t="s">
        <v>468</v>
      </c>
      <c r="C194" s="259" t="s">
        <v>210</v>
      </c>
      <c r="D194" s="260">
        <v>1</v>
      </c>
      <c r="E194" s="57" t="s">
        <v>467</v>
      </c>
      <c r="F194" s="53"/>
    </row>
    <row r="195" spans="1:6" ht="26.45">
      <c r="A195" s="267"/>
      <c r="B195" s="261" t="s">
        <v>469</v>
      </c>
      <c r="C195" s="259" t="s">
        <v>59</v>
      </c>
      <c r="D195" s="260">
        <v>1</v>
      </c>
      <c r="E195" s="57"/>
      <c r="F195" s="53"/>
    </row>
    <row r="196" spans="1:6">
      <c r="A196" s="267"/>
      <c r="B196" s="258" t="s">
        <v>470</v>
      </c>
      <c r="C196" s="259"/>
      <c r="D196" s="260"/>
      <c r="E196" s="57" t="s">
        <v>460</v>
      </c>
      <c r="F196" s="53" t="s">
        <v>460</v>
      </c>
    </row>
    <row r="197" spans="1:6" ht="26.45">
      <c r="A197" s="267"/>
      <c r="B197" s="261" t="s">
        <v>471</v>
      </c>
      <c r="C197" s="81" t="s">
        <v>59</v>
      </c>
      <c r="D197" s="260">
        <f>10+11</f>
        <v>21</v>
      </c>
      <c r="E197" s="57"/>
      <c r="F197" s="53"/>
    </row>
    <row r="198" spans="1:6">
      <c r="A198" s="267"/>
      <c r="B198" s="261" t="s">
        <v>472</v>
      </c>
      <c r="C198" s="81" t="s">
        <v>59</v>
      </c>
      <c r="D198" s="260">
        <v>5</v>
      </c>
      <c r="E198" s="57"/>
      <c r="F198" s="53"/>
    </row>
    <row r="199" spans="1:6" ht="39.6">
      <c r="A199" s="267"/>
      <c r="B199" s="261" t="s">
        <v>473</v>
      </c>
      <c r="C199" s="259" t="s">
        <v>59</v>
      </c>
      <c r="D199" s="260">
        <v>8</v>
      </c>
      <c r="E199" s="57"/>
      <c r="F199" s="53"/>
    </row>
    <row r="200" spans="1:6" ht="39.6">
      <c r="A200" s="267"/>
      <c r="B200" s="261" t="s">
        <v>474</v>
      </c>
      <c r="C200" s="259" t="s">
        <v>59</v>
      </c>
      <c r="D200" s="260">
        <v>1</v>
      </c>
      <c r="E200" s="57"/>
      <c r="F200" s="53"/>
    </row>
    <row r="201" spans="1:6">
      <c r="A201" s="267"/>
      <c r="B201" s="258" t="s">
        <v>475</v>
      </c>
      <c r="C201" s="259"/>
      <c r="D201" s="260"/>
      <c r="E201" s="57"/>
      <c r="F201" s="53"/>
    </row>
    <row r="202" spans="1:6">
      <c r="A202" s="267"/>
      <c r="B202" s="261" t="s">
        <v>476</v>
      </c>
      <c r="C202" s="259" t="s">
        <v>66</v>
      </c>
      <c r="D202" s="260">
        <v>25</v>
      </c>
      <c r="E202" s="57"/>
      <c r="F202" s="53"/>
    </row>
    <row r="203" spans="1:6">
      <c r="A203" s="267"/>
      <c r="B203" s="261" t="s">
        <v>477</v>
      </c>
      <c r="C203" s="259" t="s">
        <v>66</v>
      </c>
      <c r="D203" s="260">
        <v>165</v>
      </c>
      <c r="E203" s="57"/>
      <c r="F203" s="53"/>
    </row>
    <row r="204" spans="1:6">
      <c r="A204" s="267"/>
      <c r="B204" s="258" t="s">
        <v>478</v>
      </c>
      <c r="C204" s="259"/>
      <c r="D204" s="260"/>
      <c r="E204" s="57"/>
      <c r="F204" s="53"/>
    </row>
    <row r="205" spans="1:6">
      <c r="A205" s="267"/>
      <c r="B205" s="203" t="s">
        <v>479</v>
      </c>
      <c r="C205" s="23" t="s">
        <v>59</v>
      </c>
      <c r="D205" s="201">
        <v>4</v>
      </c>
      <c r="E205" s="20"/>
      <c r="F205" s="202"/>
    </row>
    <row r="206" spans="1:6">
      <c r="A206" s="262"/>
      <c r="B206" s="270" t="s">
        <v>480</v>
      </c>
      <c r="C206" s="263"/>
      <c r="D206" s="264"/>
      <c r="E206" s="265"/>
      <c r="F206" s="64">
        <f>SUBTOTAL(9,F192:F205)</f>
        <v>0</v>
      </c>
    </row>
    <row r="207" spans="1:6">
      <c r="A207" s="164"/>
      <c r="B207" s="165"/>
      <c r="C207" s="161"/>
      <c r="D207" s="163"/>
      <c r="E207" s="162"/>
      <c r="F207" s="123"/>
    </row>
    <row r="208" spans="1:6">
      <c r="A208" s="68"/>
      <c r="B208" s="125" t="s">
        <v>305</v>
      </c>
      <c r="C208" s="120"/>
      <c r="D208" s="174"/>
      <c r="E208" s="181"/>
      <c r="F208" s="64">
        <f>F206+F188</f>
        <v>0</v>
      </c>
    </row>
    <row r="209" spans="1:6">
      <c r="A209" s="130"/>
      <c r="B209" s="180"/>
      <c r="C209" s="120"/>
      <c r="D209" s="174"/>
      <c r="E209" s="181"/>
      <c r="F209" s="126"/>
    </row>
    <row r="210" spans="1:6" s="170" customFormat="1">
      <c r="A210" s="86">
        <v>10.6</v>
      </c>
      <c r="B210" s="127" t="s">
        <v>306</v>
      </c>
      <c r="C210" s="104"/>
      <c r="D210" s="190"/>
      <c r="E210" s="61"/>
      <c r="F210" s="64"/>
    </row>
    <row r="211" spans="1:6" s="170" customFormat="1" ht="39.6">
      <c r="A211" s="51" t="s">
        <v>307</v>
      </c>
      <c r="B211" s="124" t="s">
        <v>481</v>
      </c>
      <c r="C211" s="81" t="s">
        <v>12</v>
      </c>
      <c r="D211" s="96">
        <v>1</v>
      </c>
      <c r="E211" s="57"/>
      <c r="F211" s="53"/>
    </row>
    <row r="212" spans="1:6">
      <c r="A212" s="51" t="s">
        <v>309</v>
      </c>
      <c r="B212" s="124" t="s">
        <v>482</v>
      </c>
      <c r="C212" s="81" t="s">
        <v>59</v>
      </c>
      <c r="D212" s="96">
        <v>1</v>
      </c>
      <c r="E212" s="57"/>
      <c r="F212" s="53"/>
    </row>
    <row r="213" spans="1:6">
      <c r="A213" s="51" t="s">
        <v>311</v>
      </c>
      <c r="B213" s="95" t="s">
        <v>308</v>
      </c>
      <c r="C213" s="81" t="s">
        <v>59</v>
      </c>
      <c r="D213" s="96">
        <v>1</v>
      </c>
      <c r="E213" s="57"/>
      <c r="F213" s="53"/>
    </row>
    <row r="214" spans="1:6">
      <c r="A214" s="51" t="s">
        <v>313</v>
      </c>
      <c r="B214" s="95" t="s">
        <v>483</v>
      </c>
      <c r="C214" s="81" t="s">
        <v>59</v>
      </c>
      <c r="D214" s="96">
        <v>1</v>
      </c>
      <c r="E214" s="57"/>
      <c r="F214" s="53"/>
    </row>
    <row r="215" spans="1:6" s="170" customFormat="1" ht="16.5" customHeight="1">
      <c r="A215" s="51" t="s">
        <v>315</v>
      </c>
      <c r="B215" s="95" t="s">
        <v>484</v>
      </c>
      <c r="C215" s="81" t="s">
        <v>59</v>
      </c>
      <c r="D215" s="96">
        <v>18</v>
      </c>
      <c r="E215" s="57"/>
      <c r="F215" s="53"/>
    </row>
    <row r="216" spans="1:6" s="170" customFormat="1">
      <c r="A216" s="51" t="s">
        <v>317</v>
      </c>
      <c r="B216" s="95" t="s">
        <v>312</v>
      </c>
      <c r="C216" s="81" t="s">
        <v>59</v>
      </c>
      <c r="D216" s="96">
        <v>4</v>
      </c>
      <c r="E216" s="57"/>
      <c r="F216" s="53"/>
    </row>
    <row r="217" spans="1:6" s="170" customFormat="1">
      <c r="A217" s="51" t="s">
        <v>319</v>
      </c>
      <c r="B217" s="95" t="s">
        <v>314</v>
      </c>
      <c r="C217" s="81" t="s">
        <v>59</v>
      </c>
      <c r="D217" s="96">
        <v>3</v>
      </c>
      <c r="E217" s="57"/>
      <c r="F217" s="53"/>
    </row>
    <row r="218" spans="1:6" s="170" customFormat="1">
      <c r="A218" s="51" t="s">
        <v>321</v>
      </c>
      <c r="B218" s="95" t="s">
        <v>485</v>
      </c>
      <c r="C218" s="81" t="s">
        <v>59</v>
      </c>
      <c r="D218" s="96">
        <v>2</v>
      </c>
      <c r="E218" s="57"/>
      <c r="F218" s="53"/>
    </row>
    <row r="219" spans="1:6">
      <c r="A219" s="51" t="s">
        <v>323</v>
      </c>
      <c r="B219" s="95" t="s">
        <v>320</v>
      </c>
      <c r="C219" s="81" t="s">
        <v>59</v>
      </c>
      <c r="D219" s="96">
        <v>1</v>
      </c>
      <c r="E219" s="57"/>
      <c r="F219" s="53"/>
    </row>
    <row r="220" spans="1:6">
      <c r="A220" s="130"/>
      <c r="B220" s="125" t="s">
        <v>329</v>
      </c>
      <c r="C220" s="13"/>
      <c r="D220" s="62"/>
      <c r="E220" s="61"/>
      <c r="F220" s="64">
        <f>SUM(F211:F219)</f>
        <v>0</v>
      </c>
    </row>
    <row r="221" spans="1:6">
      <c r="A221" s="130"/>
      <c r="B221" s="61" t="s">
        <v>330</v>
      </c>
      <c r="C221" s="13"/>
      <c r="D221" s="62"/>
      <c r="E221" s="191"/>
      <c r="F221" s="64">
        <f>SUM(F220,F208,F180,F172,F165,F158)</f>
        <v>0</v>
      </c>
    </row>
    <row r="222" spans="1:6">
      <c r="A222" s="120"/>
      <c r="B222" s="173"/>
      <c r="C222" s="35"/>
      <c r="D222" s="122"/>
      <c r="E222" s="173"/>
      <c r="F222" s="126"/>
    </row>
    <row r="223" spans="1:6" ht="15.6">
      <c r="A223" s="188"/>
      <c r="B223" s="189" t="s">
        <v>486</v>
      </c>
      <c r="C223" s="216"/>
      <c r="D223" s="217"/>
      <c r="E223" s="217"/>
      <c r="F223" s="218">
        <f>SUM(F221,F143,F126,F109,F102,F94,F61,F47,F35,F23)</f>
        <v>0</v>
      </c>
    </row>
    <row r="225" spans="1:6" ht="25.5" customHeight="1">
      <c r="A225" s="4" t="s">
        <v>3</v>
      </c>
      <c r="B225" s="5" t="s">
        <v>4</v>
      </c>
      <c r="C225" s="5" t="s">
        <v>5</v>
      </c>
      <c r="D225" s="6" t="s">
        <v>6</v>
      </c>
      <c r="E225" s="7" t="s">
        <v>7</v>
      </c>
      <c r="F225" s="5" t="s">
        <v>8</v>
      </c>
    </row>
    <row r="226" spans="1:6">
      <c r="A226" s="223" t="s">
        <v>487</v>
      </c>
      <c r="B226" s="323" t="s">
        <v>488</v>
      </c>
      <c r="C226" s="324"/>
      <c r="D226" s="324"/>
      <c r="E226" s="324"/>
      <c r="F226" s="325"/>
    </row>
    <row r="227" spans="1:6">
      <c r="A227" s="223" t="s">
        <v>19</v>
      </c>
      <c r="B227" s="115" t="s">
        <v>489</v>
      </c>
      <c r="C227" s="223"/>
      <c r="D227" s="224"/>
      <c r="E227" s="225"/>
      <c r="F227" s="226"/>
    </row>
    <row r="228" spans="1:6">
      <c r="A228" s="13"/>
      <c r="B228" s="208"/>
      <c r="C228" s="13"/>
      <c r="D228" s="68"/>
      <c r="E228" s="253"/>
      <c r="F228" s="250"/>
    </row>
    <row r="229" spans="1:6">
      <c r="A229" s="152" t="s">
        <v>490</v>
      </c>
      <c r="B229" s="127" t="s">
        <v>491</v>
      </c>
      <c r="C229" s="104"/>
      <c r="D229" s="104"/>
      <c r="E229" s="243"/>
      <c r="F229" s="59"/>
    </row>
    <row r="230" spans="1:6" ht="66">
      <c r="A230" s="41"/>
      <c r="B230" s="38" t="s">
        <v>492</v>
      </c>
      <c r="C230" s="41"/>
      <c r="D230" s="41"/>
      <c r="E230" s="236"/>
      <c r="F230" s="38"/>
    </row>
    <row r="231" spans="1:6">
      <c r="A231" s="41"/>
      <c r="B231" s="38" t="s">
        <v>493</v>
      </c>
      <c r="C231" s="41" t="s">
        <v>66</v>
      </c>
      <c r="D231" s="41">
        <v>45</v>
      </c>
      <c r="E231" s="237"/>
      <c r="F231" s="231"/>
    </row>
    <row r="232" spans="1:6">
      <c r="A232" s="41"/>
      <c r="B232" s="38" t="s">
        <v>494</v>
      </c>
      <c r="C232" s="41" t="s">
        <v>66</v>
      </c>
      <c r="D232" s="41">
        <v>135</v>
      </c>
      <c r="E232" s="237"/>
      <c r="F232" s="231"/>
    </row>
    <row r="233" spans="1:6">
      <c r="A233" s="41"/>
      <c r="B233" s="38" t="s">
        <v>495</v>
      </c>
      <c r="C233" s="41" t="s">
        <v>66</v>
      </c>
      <c r="D233" s="41">
        <v>70</v>
      </c>
      <c r="E233" s="237"/>
      <c r="F233" s="231"/>
    </row>
    <row r="234" spans="1:6">
      <c r="A234" s="41"/>
      <c r="B234" s="38" t="s">
        <v>496</v>
      </c>
      <c r="C234" s="41" t="s">
        <v>66</v>
      </c>
      <c r="D234" s="41">
        <v>60</v>
      </c>
      <c r="E234" s="237"/>
      <c r="F234" s="231"/>
    </row>
    <row r="235" spans="1:6">
      <c r="A235" s="41"/>
      <c r="B235" s="38" t="s">
        <v>497</v>
      </c>
      <c r="C235" s="41" t="s">
        <v>66</v>
      </c>
      <c r="D235" s="41">
        <v>50</v>
      </c>
      <c r="E235" s="237"/>
      <c r="F235" s="231"/>
    </row>
    <row r="236" spans="1:6" ht="26.45">
      <c r="A236" s="104"/>
      <c r="B236" s="38" t="s">
        <v>498</v>
      </c>
      <c r="C236" s="41" t="s">
        <v>66</v>
      </c>
      <c r="D236" s="239">
        <v>250</v>
      </c>
      <c r="E236" s="237"/>
      <c r="F236" s="231"/>
    </row>
    <row r="237" spans="1:6">
      <c r="A237" s="104"/>
      <c r="B237" s="38" t="s">
        <v>499</v>
      </c>
      <c r="C237" s="41" t="s">
        <v>59</v>
      </c>
      <c r="D237" s="239">
        <v>4</v>
      </c>
      <c r="E237" s="237"/>
      <c r="F237" s="231"/>
    </row>
    <row r="238" spans="1:6">
      <c r="A238" s="41"/>
      <c r="B238" s="125" t="s">
        <v>500</v>
      </c>
      <c r="C238" s="41"/>
      <c r="D238" s="41"/>
      <c r="E238" s="236"/>
      <c r="F238" s="240">
        <f>SUM(F231:F237)</f>
        <v>0</v>
      </c>
    </row>
    <row r="239" spans="1:6">
      <c r="A239" s="41"/>
      <c r="B239" s="244"/>
      <c r="C239" s="13"/>
      <c r="D239" s="13"/>
      <c r="E239" s="236"/>
      <c r="F239" s="242"/>
    </row>
    <row r="240" spans="1:6">
      <c r="A240" s="152" t="s">
        <v>501</v>
      </c>
      <c r="B240" s="59" t="s">
        <v>502</v>
      </c>
      <c r="C240" s="104"/>
      <c r="D240" s="104"/>
      <c r="E240" s="236"/>
      <c r="F240" s="242"/>
    </row>
    <row r="241" spans="1:6" ht="66">
      <c r="A241" s="38"/>
      <c r="B241" s="59" t="s">
        <v>503</v>
      </c>
      <c r="C241" s="41"/>
      <c r="D241" s="41"/>
      <c r="E241" s="236"/>
      <c r="F241" s="242"/>
    </row>
    <row r="242" spans="1:6">
      <c r="A242" s="38"/>
      <c r="B242" s="38" t="s">
        <v>504</v>
      </c>
      <c r="C242" s="41" t="s">
        <v>66</v>
      </c>
      <c r="D242" s="41">
        <v>50</v>
      </c>
      <c r="E242" s="237"/>
      <c r="F242" s="231"/>
    </row>
    <row r="243" spans="1:6">
      <c r="A243" s="38"/>
      <c r="B243" s="38" t="s">
        <v>194</v>
      </c>
      <c r="C243" s="41" t="s">
        <v>66</v>
      </c>
      <c r="D243" s="41">
        <v>150</v>
      </c>
      <c r="E243" s="237"/>
      <c r="F243" s="231"/>
    </row>
    <row r="244" spans="1:6">
      <c r="A244" s="38"/>
      <c r="B244" s="38" t="s">
        <v>196</v>
      </c>
      <c r="C244" s="41" t="s">
        <v>66</v>
      </c>
      <c r="D244" s="41">
        <v>230</v>
      </c>
      <c r="E244" s="237"/>
      <c r="F244" s="231"/>
    </row>
    <row r="245" spans="1:6" ht="26.45">
      <c r="A245" s="38"/>
      <c r="B245" s="38" t="s">
        <v>505</v>
      </c>
      <c r="C245" s="41" t="s">
        <v>59</v>
      </c>
      <c r="D245" s="41">
        <v>8</v>
      </c>
      <c r="E245" s="237"/>
      <c r="F245" s="231"/>
    </row>
    <row r="246" spans="1:6" ht="26.45">
      <c r="A246" s="104"/>
      <c r="B246" s="38" t="s">
        <v>498</v>
      </c>
      <c r="C246" s="41" t="s">
        <v>66</v>
      </c>
      <c r="D246" s="71">
        <f>SUM(D242:D245)</f>
        <v>438</v>
      </c>
      <c r="E246" s="237"/>
      <c r="F246" s="231"/>
    </row>
    <row r="247" spans="1:6" ht="26.45">
      <c r="A247" s="205"/>
      <c r="B247" s="205" t="s">
        <v>506</v>
      </c>
      <c r="C247" s="169" t="s">
        <v>59</v>
      </c>
      <c r="D247" s="169">
        <v>2</v>
      </c>
      <c r="E247" s="237"/>
      <c r="F247" s="245"/>
    </row>
    <row r="248" spans="1:6">
      <c r="A248" s="38"/>
      <c r="B248" s="125" t="s">
        <v>507</v>
      </c>
      <c r="C248" s="41"/>
      <c r="D248" s="41"/>
      <c r="E248" s="236"/>
      <c r="F248" s="246">
        <f>SUM(F242:F247)</f>
        <v>0</v>
      </c>
    </row>
    <row r="249" spans="1:6">
      <c r="A249" s="38"/>
      <c r="B249" s="247"/>
      <c r="C249" s="41"/>
      <c r="D249" s="41"/>
      <c r="E249" s="236"/>
      <c r="F249" s="246"/>
    </row>
    <row r="250" spans="1:6">
      <c r="A250" s="152"/>
      <c r="B250" s="59" t="s">
        <v>508</v>
      </c>
      <c r="C250" s="104"/>
      <c r="D250" s="104"/>
      <c r="E250" s="236"/>
      <c r="F250" s="248"/>
    </row>
    <row r="251" spans="1:6">
      <c r="A251" s="249"/>
      <c r="B251" s="205" t="s">
        <v>509</v>
      </c>
      <c r="C251" s="169" t="s">
        <v>59</v>
      </c>
      <c r="D251" s="169">
        <v>1</v>
      </c>
      <c r="E251" s="237"/>
      <c r="F251" s="245"/>
    </row>
    <row r="252" spans="1:6" ht="39.6">
      <c r="A252" s="249"/>
      <c r="B252" s="205" t="s">
        <v>510</v>
      </c>
      <c r="C252" s="169" t="s">
        <v>66</v>
      </c>
      <c r="D252" s="169">
        <v>5</v>
      </c>
      <c r="E252" s="237"/>
      <c r="F252" s="245"/>
    </row>
    <row r="253" spans="1:6">
      <c r="A253" s="38"/>
      <c r="B253" s="125" t="s">
        <v>511</v>
      </c>
      <c r="C253" s="41"/>
      <c r="D253" s="41"/>
      <c r="E253" s="236"/>
      <c r="F253" s="246">
        <f>+SUM(F251:F252)</f>
        <v>0</v>
      </c>
    </row>
    <row r="254" spans="1:6">
      <c r="A254" s="38"/>
      <c r="B254" s="247"/>
      <c r="C254" s="41"/>
      <c r="D254" s="41"/>
      <c r="E254" s="236"/>
      <c r="F254" s="250"/>
    </row>
    <row r="255" spans="1:6">
      <c r="A255" s="152" t="s">
        <v>37</v>
      </c>
      <c r="B255" s="59" t="s">
        <v>332</v>
      </c>
      <c r="C255" s="104"/>
      <c r="D255" s="104"/>
      <c r="E255" s="236"/>
      <c r="F255" s="242"/>
    </row>
    <row r="256" spans="1:6" ht="26.45">
      <c r="A256" s="38"/>
      <c r="B256" s="38" t="s">
        <v>512</v>
      </c>
      <c r="C256" s="41" t="s">
        <v>17</v>
      </c>
      <c r="D256" s="108">
        <v>45.77</v>
      </c>
      <c r="E256" s="251"/>
      <c r="F256" s="206"/>
    </row>
    <row r="257" spans="1:6" ht="26.45">
      <c r="A257" s="38"/>
      <c r="B257" s="38" t="s">
        <v>513</v>
      </c>
      <c r="C257" s="41" t="s">
        <v>514</v>
      </c>
      <c r="D257" s="108">
        <v>75</v>
      </c>
      <c r="E257" s="251"/>
      <c r="F257" s="206"/>
    </row>
    <row r="258" spans="1:6">
      <c r="A258" s="38"/>
      <c r="B258" s="38" t="s">
        <v>515</v>
      </c>
      <c r="C258" s="41" t="s">
        <v>17</v>
      </c>
      <c r="D258" s="108">
        <v>70</v>
      </c>
      <c r="E258" s="251"/>
      <c r="F258" s="206"/>
    </row>
    <row r="259" spans="1:6">
      <c r="A259" s="38"/>
      <c r="B259" s="38" t="s">
        <v>516</v>
      </c>
      <c r="C259" s="41" t="s">
        <v>66</v>
      </c>
      <c r="D259" s="108">
        <f>146.92*1.05</f>
        <v>154.26599999999999</v>
      </c>
      <c r="E259" s="251"/>
      <c r="F259" s="206"/>
    </row>
    <row r="260" spans="1:6">
      <c r="A260" s="38"/>
      <c r="B260" s="125" t="s">
        <v>517</v>
      </c>
      <c r="C260" s="41"/>
      <c r="D260" s="108"/>
      <c r="E260" s="236"/>
      <c r="F260" s="252">
        <f>SUM(F256:F259)</f>
        <v>0</v>
      </c>
    </row>
    <row r="261" spans="1:6" ht="15.6">
      <c r="A261" s="26"/>
      <c r="B261" s="101" t="s">
        <v>518</v>
      </c>
      <c r="C261" s="273"/>
      <c r="D261" s="274"/>
      <c r="E261" s="275"/>
      <c r="F261" s="102">
        <f>F260+F253+F248+F238</f>
        <v>0</v>
      </c>
    </row>
    <row r="262" spans="1:6" ht="26.45">
      <c r="A262" s="26"/>
      <c r="B262" s="101" t="s">
        <v>519</v>
      </c>
      <c r="C262" s="273"/>
      <c r="D262" s="274"/>
      <c r="E262" s="275"/>
      <c r="F262" s="102">
        <f>F261+F223</f>
        <v>0</v>
      </c>
    </row>
  </sheetData>
  <mergeCells count="13">
    <mergeCell ref="A127:F127"/>
    <mergeCell ref="B226:F226"/>
    <mergeCell ref="A36:F36"/>
    <mergeCell ref="A48:F48"/>
    <mergeCell ref="A62:F62"/>
    <mergeCell ref="A95:F95"/>
    <mergeCell ref="A103:F103"/>
    <mergeCell ref="A110:F110"/>
    <mergeCell ref="A24:F24"/>
    <mergeCell ref="A1:F1"/>
    <mergeCell ref="A2:F2"/>
    <mergeCell ref="A3:F3"/>
    <mergeCell ref="A6:F6"/>
  </mergeCells>
  <phoneticPr fontId="19" type="noConversion"/>
  <pageMargins left="0.70866141732283472" right="0.70866141732283472" top="0.74803149606299213" bottom="0.74803149606299213" header="0.31496062992125984" footer="0.31496062992125984"/>
  <pageSetup paperSize="9"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E8BC3-D3D4-4285-BFF6-F428BE6EDE91}">
  <sheetPr>
    <tabColor theme="9"/>
    <pageSetUpPr fitToPage="1"/>
  </sheetPr>
  <dimension ref="A1:J299"/>
  <sheetViews>
    <sheetView view="pageBreakPreview" topLeftCell="A289" zoomScale="130" zoomScaleNormal="130" zoomScaleSheetLayoutView="130" workbookViewId="0">
      <selection activeCell="F298" sqref="F298"/>
    </sheetView>
  </sheetViews>
  <sheetFormatPr defaultColWidth="11.42578125" defaultRowHeight="14.45"/>
  <cols>
    <col min="1" max="1" width="7.7109375" customWidth="1"/>
    <col min="2" max="2" width="45.7109375" customWidth="1"/>
    <col min="3" max="3" width="8.7109375" customWidth="1"/>
    <col min="4" max="4" width="10.7109375" customWidth="1"/>
    <col min="5" max="5" width="11.7109375" customWidth="1"/>
    <col min="6" max="6" width="12.7109375" customWidth="1"/>
    <col min="7" max="7" width="26.28515625" customWidth="1"/>
  </cols>
  <sheetData>
    <row r="1" spans="1:6" ht="81" customHeight="1">
      <c r="A1" s="329" t="s">
        <v>520</v>
      </c>
      <c r="B1" s="329"/>
      <c r="C1" s="329"/>
      <c r="D1" s="329"/>
      <c r="E1" s="329"/>
      <c r="F1" s="329"/>
    </row>
    <row r="2" spans="1:6" ht="20.100000000000001" customHeight="1">
      <c r="A2" s="302" t="s">
        <v>1</v>
      </c>
      <c r="B2" s="302"/>
      <c r="C2" s="302"/>
      <c r="D2" s="302"/>
      <c r="E2" s="302"/>
      <c r="F2" s="302"/>
    </row>
    <row r="3" spans="1:6" ht="20.100000000000001" customHeight="1">
      <c r="A3" s="303" t="s">
        <v>521</v>
      </c>
      <c r="B3" s="303"/>
      <c r="C3" s="303"/>
      <c r="D3" s="303"/>
      <c r="E3" s="303"/>
      <c r="F3" s="303"/>
    </row>
    <row r="4" spans="1:6" ht="15" customHeight="1">
      <c r="A4" s="1"/>
      <c r="B4" s="1"/>
      <c r="C4" s="2"/>
      <c r="D4" s="2"/>
      <c r="E4" s="3"/>
      <c r="F4" s="2"/>
    </row>
    <row r="5" spans="1:6" ht="26.45">
      <c r="A5" s="4" t="s">
        <v>3</v>
      </c>
      <c r="B5" s="5" t="s">
        <v>4</v>
      </c>
      <c r="C5" s="5" t="s">
        <v>5</v>
      </c>
      <c r="D5" s="6" t="s">
        <v>6</v>
      </c>
      <c r="E5" s="7" t="s">
        <v>7</v>
      </c>
      <c r="F5" s="5" t="s">
        <v>8</v>
      </c>
    </row>
    <row r="6" spans="1:6">
      <c r="A6" s="272" t="s">
        <v>522</v>
      </c>
      <c r="B6" s="323" t="s">
        <v>523</v>
      </c>
      <c r="C6" s="324"/>
      <c r="D6" s="324"/>
      <c r="E6" s="324"/>
      <c r="F6" s="325"/>
    </row>
    <row r="7" spans="1:6" ht="15.6">
      <c r="A7" s="29"/>
      <c r="B7" s="30"/>
      <c r="C7" s="29"/>
      <c r="D7" s="31"/>
      <c r="E7" s="32"/>
      <c r="F7" s="33"/>
    </row>
    <row r="8" spans="1:6" ht="15.6">
      <c r="A8" s="304"/>
      <c r="B8" s="305"/>
      <c r="C8" s="305"/>
      <c r="D8" s="305"/>
      <c r="E8" s="305"/>
      <c r="F8" s="306"/>
    </row>
    <row r="9" spans="1:6">
      <c r="A9" s="147" t="s">
        <v>19</v>
      </c>
      <c r="B9" s="148" t="s">
        <v>20</v>
      </c>
      <c r="C9" s="13"/>
      <c r="D9" s="14"/>
      <c r="E9" s="149"/>
      <c r="F9" s="150"/>
    </row>
    <row r="10" spans="1:6" ht="15">
      <c r="A10" s="15">
        <v>1.1000000000000001</v>
      </c>
      <c r="B10" s="151" t="s">
        <v>21</v>
      </c>
      <c r="C10" s="15" t="s">
        <v>22</v>
      </c>
      <c r="D10" s="16">
        <f>171*1*1*1.2</f>
        <v>205.2</v>
      </c>
      <c r="E10" s="17"/>
      <c r="F10" s="150"/>
    </row>
    <row r="11" spans="1:6" ht="15">
      <c r="A11" s="15">
        <v>1.2</v>
      </c>
      <c r="B11" s="151" t="s">
        <v>23</v>
      </c>
      <c r="C11" s="15" t="s">
        <v>22</v>
      </c>
      <c r="D11" s="16">
        <f>600*0.4*0.6</f>
        <v>144</v>
      </c>
      <c r="E11" s="17"/>
      <c r="F11" s="150"/>
    </row>
    <row r="12" spans="1:6" ht="26.45">
      <c r="A12" s="15">
        <v>1.3</v>
      </c>
      <c r="B12" s="151" t="s">
        <v>25</v>
      </c>
      <c r="C12" s="15" t="s">
        <v>22</v>
      </c>
      <c r="D12" s="16">
        <f>1148*0.35</f>
        <v>401.79999999999995</v>
      </c>
      <c r="E12" s="17"/>
      <c r="F12" s="150"/>
    </row>
    <row r="13" spans="1:6" ht="15">
      <c r="A13" s="15">
        <v>1.4</v>
      </c>
      <c r="B13" s="151" t="s">
        <v>24</v>
      </c>
      <c r="C13" s="15" t="s">
        <v>22</v>
      </c>
      <c r="D13" s="16">
        <f>D10+D11-D16-D17</f>
        <v>249.89999999999998</v>
      </c>
      <c r="E13" s="17"/>
      <c r="F13" s="150"/>
    </row>
    <row r="14" spans="1:6" ht="26.45">
      <c r="A14" s="15">
        <v>1.5</v>
      </c>
      <c r="B14" s="151" t="s">
        <v>369</v>
      </c>
      <c r="C14" s="15" t="s">
        <v>22</v>
      </c>
      <c r="D14" s="16">
        <f>600*0.4*0.05</f>
        <v>12</v>
      </c>
      <c r="E14" s="17"/>
      <c r="F14" s="150"/>
    </row>
    <row r="15" spans="1:6" ht="26.45">
      <c r="A15" s="15">
        <v>1.6</v>
      </c>
      <c r="B15" s="151" t="s">
        <v>370</v>
      </c>
      <c r="C15" s="15" t="s">
        <v>22</v>
      </c>
      <c r="D15" s="16">
        <f>171*1*1*0.05</f>
        <v>8.5500000000000007</v>
      </c>
      <c r="E15" s="17"/>
      <c r="F15" s="150"/>
    </row>
    <row r="16" spans="1:6" ht="26.45">
      <c r="A16" s="15">
        <v>1.7</v>
      </c>
      <c r="B16" s="151" t="s">
        <v>27</v>
      </c>
      <c r="C16" s="15" t="s">
        <v>22</v>
      </c>
      <c r="D16" s="16">
        <f>171*1*1*0.3</f>
        <v>51.3</v>
      </c>
      <c r="E16" s="17"/>
      <c r="F16" s="150"/>
    </row>
    <row r="17" spans="1:6" ht="26.45">
      <c r="A17" s="15">
        <v>1.8</v>
      </c>
      <c r="B17" s="151" t="s">
        <v>30</v>
      </c>
      <c r="C17" s="15" t="s">
        <v>22</v>
      </c>
      <c r="D17" s="16">
        <f>600*0.4*0.2</f>
        <v>48</v>
      </c>
      <c r="E17" s="156"/>
      <c r="F17" s="150"/>
    </row>
    <row r="18" spans="1:6" ht="39.6">
      <c r="A18" s="15">
        <v>1.9</v>
      </c>
      <c r="B18" s="151" t="s">
        <v>371</v>
      </c>
      <c r="C18" s="15" t="s">
        <v>22</v>
      </c>
      <c r="D18" s="16">
        <f>171*0.25*0.25*1.2</f>
        <v>12.824999999999999</v>
      </c>
      <c r="E18" s="17"/>
      <c r="F18" s="150"/>
    </row>
    <row r="19" spans="1:6" ht="26.45">
      <c r="A19" s="15">
        <v>1.1000000000000001</v>
      </c>
      <c r="B19" s="151" t="s">
        <v>31</v>
      </c>
      <c r="C19" s="15" t="s">
        <v>17</v>
      </c>
      <c r="D19" s="16">
        <f>600*0.4</f>
        <v>240</v>
      </c>
      <c r="E19" s="17"/>
      <c r="F19" s="150"/>
    </row>
    <row r="20" spans="1:6" ht="26.45">
      <c r="A20" s="15">
        <v>1.1100000000000001</v>
      </c>
      <c r="B20" s="151" t="s">
        <v>32</v>
      </c>
      <c r="C20" s="15" t="s">
        <v>22</v>
      </c>
      <c r="D20" s="16">
        <f>600*0.2*0.4</f>
        <v>48</v>
      </c>
      <c r="E20" s="17"/>
      <c r="F20" s="150"/>
    </row>
    <row r="21" spans="1:6" ht="26.45">
      <c r="A21" s="15">
        <v>1.1200000000000001</v>
      </c>
      <c r="B21" s="151" t="s">
        <v>372</v>
      </c>
      <c r="C21" s="15" t="s">
        <v>22</v>
      </c>
      <c r="D21" s="16">
        <f>20*0.2*0.2</f>
        <v>0.8</v>
      </c>
      <c r="E21" s="17"/>
      <c r="F21" s="150"/>
    </row>
    <row r="22" spans="1:6" ht="52.9">
      <c r="A22" s="15">
        <v>1.1299999999999999</v>
      </c>
      <c r="B22" s="151" t="s">
        <v>373</v>
      </c>
      <c r="C22" s="15" t="s">
        <v>22</v>
      </c>
      <c r="D22" s="16">
        <f>1148.38*0.12</f>
        <v>137.8056</v>
      </c>
      <c r="E22" s="17"/>
      <c r="F22" s="150"/>
    </row>
    <row r="23" spans="1:6" ht="39.6">
      <c r="A23" s="15">
        <v>1.1399999999999999</v>
      </c>
      <c r="B23" s="151" t="s">
        <v>34</v>
      </c>
      <c r="C23" s="15" t="s">
        <v>22</v>
      </c>
      <c r="D23" s="16">
        <v>1.37</v>
      </c>
      <c r="E23" s="17"/>
      <c r="F23" s="150"/>
    </row>
    <row r="24" spans="1:6" ht="39.6">
      <c r="A24" s="15">
        <v>1.1499999999999999</v>
      </c>
      <c r="B24" s="151" t="s">
        <v>35</v>
      </c>
      <c r="C24" s="15" t="s">
        <v>17</v>
      </c>
      <c r="D24" s="16">
        <f>1148.38</f>
        <v>1148.3800000000001</v>
      </c>
      <c r="E24" s="17"/>
      <c r="F24" s="150"/>
    </row>
    <row r="25" spans="1:6">
      <c r="A25" s="15"/>
      <c r="B25" s="18" t="s">
        <v>36</v>
      </c>
      <c r="C25" s="15"/>
      <c r="D25" s="19"/>
      <c r="E25" s="17"/>
      <c r="F25" s="107">
        <f>SUM(F10:F24)</f>
        <v>0</v>
      </c>
    </row>
    <row r="26" spans="1:6" ht="15.6">
      <c r="A26" s="307"/>
      <c r="B26" s="308"/>
      <c r="C26" s="308"/>
      <c r="D26" s="308"/>
      <c r="E26" s="308"/>
      <c r="F26" s="309"/>
    </row>
    <row r="27" spans="1:6">
      <c r="A27" s="147" t="s">
        <v>37</v>
      </c>
      <c r="B27" s="148" t="s">
        <v>38</v>
      </c>
      <c r="C27" s="152"/>
      <c r="D27" s="153"/>
      <c r="E27" s="17"/>
      <c r="F27" s="154"/>
    </row>
    <row r="28" spans="1:6" ht="39.6">
      <c r="A28" s="41">
        <v>2.1</v>
      </c>
      <c r="B28" s="151" t="s">
        <v>39</v>
      </c>
      <c r="C28" s="15" t="s">
        <v>22</v>
      </c>
      <c r="D28" s="155">
        <f>171*0.25*0.25*4</f>
        <v>42.75</v>
      </c>
      <c r="E28" s="156"/>
      <c r="F28" s="150"/>
    </row>
    <row r="29" spans="1:6" ht="26.45">
      <c r="A29" s="41">
        <v>2.2000000000000002</v>
      </c>
      <c r="B29" s="151" t="s">
        <v>40</v>
      </c>
      <c r="C29" s="15" t="s">
        <v>22</v>
      </c>
      <c r="D29" s="155">
        <v>4.08</v>
      </c>
      <c r="E29" s="156"/>
      <c r="F29" s="150"/>
    </row>
    <row r="30" spans="1:6" ht="39.6">
      <c r="A30" s="41">
        <v>2.2999999999999998</v>
      </c>
      <c r="B30" s="151" t="s">
        <v>41</v>
      </c>
      <c r="C30" s="15" t="s">
        <v>22</v>
      </c>
      <c r="D30" s="155">
        <f>600*0.15*0.15</f>
        <v>13.5</v>
      </c>
      <c r="E30" s="156"/>
      <c r="F30" s="150"/>
    </row>
    <row r="31" spans="1:6" ht="39.6">
      <c r="A31" s="41">
        <v>2.4</v>
      </c>
      <c r="B31" s="151" t="s">
        <v>42</v>
      </c>
      <c r="C31" s="15" t="s">
        <v>22</v>
      </c>
      <c r="D31" s="155">
        <f>600*0.15*0.3</f>
        <v>27</v>
      </c>
      <c r="E31" s="156"/>
      <c r="F31" s="150"/>
    </row>
    <row r="32" spans="1:6" ht="26.45">
      <c r="A32" s="41">
        <v>2.5</v>
      </c>
      <c r="B32" s="151" t="s">
        <v>43</v>
      </c>
      <c r="C32" s="15" t="s">
        <v>22</v>
      </c>
      <c r="D32" s="155">
        <v>29.17</v>
      </c>
      <c r="E32" s="156"/>
      <c r="F32" s="150"/>
    </row>
    <row r="33" spans="1:8" ht="26.45">
      <c r="A33" s="41">
        <v>2.6</v>
      </c>
      <c r="B33" s="151" t="s">
        <v>44</v>
      </c>
      <c r="C33" s="15" t="s">
        <v>17</v>
      </c>
      <c r="D33" s="155">
        <v>39.79</v>
      </c>
      <c r="E33" s="156"/>
      <c r="F33" s="150"/>
    </row>
    <row r="34" spans="1:8" ht="26.45">
      <c r="A34" s="41">
        <v>2.7</v>
      </c>
      <c r="B34" s="151" t="s">
        <v>374</v>
      </c>
      <c r="C34" s="15" t="s">
        <v>22</v>
      </c>
      <c r="D34" s="155">
        <v>36</v>
      </c>
      <c r="E34" s="156"/>
      <c r="F34" s="150"/>
    </row>
    <row r="35" spans="1:8" ht="39.6">
      <c r="A35" s="41">
        <v>2.8</v>
      </c>
      <c r="B35" s="151" t="s">
        <v>46</v>
      </c>
      <c r="C35" s="15" t="s">
        <v>22</v>
      </c>
      <c r="D35" s="155">
        <v>6.4812000000000012</v>
      </c>
      <c r="E35" s="156"/>
      <c r="F35" s="150"/>
    </row>
    <row r="36" spans="1:8" ht="26.45">
      <c r="A36" s="41">
        <v>2.9</v>
      </c>
      <c r="B36" s="151" t="s">
        <v>47</v>
      </c>
      <c r="C36" s="15" t="s">
        <v>22</v>
      </c>
      <c r="D36" s="155">
        <v>51.99</v>
      </c>
      <c r="E36" s="156"/>
      <c r="F36" s="150"/>
    </row>
    <row r="37" spans="1:8">
      <c r="A37" s="42"/>
      <c r="B37" s="18" t="s">
        <v>49</v>
      </c>
      <c r="C37" s="43"/>
      <c r="D37" s="16"/>
      <c r="E37" s="44"/>
      <c r="F37" s="40">
        <f>SUM(F28:F36)</f>
        <v>0</v>
      </c>
    </row>
    <row r="38" spans="1:8">
      <c r="A38" s="316"/>
      <c r="B38" s="317"/>
      <c r="C38" s="317"/>
      <c r="D38" s="317"/>
      <c r="E38" s="317"/>
      <c r="F38" s="318"/>
    </row>
    <row r="39" spans="1:8">
      <c r="A39" s="43" t="s">
        <v>50</v>
      </c>
      <c r="B39" s="97" t="s">
        <v>51</v>
      </c>
      <c r="C39" s="43"/>
      <c r="D39" s="46"/>
      <c r="E39" s="44"/>
      <c r="F39" s="39"/>
    </row>
    <row r="40" spans="1:8" ht="26.45">
      <c r="A40" s="36">
        <v>3.1</v>
      </c>
      <c r="B40" s="47" t="s">
        <v>375</v>
      </c>
      <c r="C40" s="15" t="s">
        <v>17</v>
      </c>
      <c r="D40" s="16">
        <v>2661.28</v>
      </c>
      <c r="E40" s="17"/>
      <c r="F40" s="48"/>
      <c r="G40" s="276"/>
      <c r="H40" s="276"/>
    </row>
    <row r="41" spans="1:8" ht="26.45">
      <c r="A41" s="36">
        <v>3.2</v>
      </c>
      <c r="B41" s="47" t="s">
        <v>376</v>
      </c>
      <c r="C41" s="15" t="s">
        <v>17</v>
      </c>
      <c r="D41" s="16">
        <v>79</v>
      </c>
      <c r="E41" s="17"/>
      <c r="F41" s="48"/>
      <c r="G41" s="276"/>
      <c r="H41" s="276"/>
    </row>
    <row r="42" spans="1:8" ht="26.45">
      <c r="A42" s="36">
        <v>3.3</v>
      </c>
      <c r="B42" s="47" t="s">
        <v>524</v>
      </c>
      <c r="C42" s="15" t="s">
        <v>17</v>
      </c>
      <c r="D42" s="16">
        <f>87.72+53.24</f>
        <v>140.96</v>
      </c>
      <c r="E42" s="17"/>
      <c r="F42" s="48"/>
    </row>
    <row r="43" spans="1:8" ht="26.45">
      <c r="A43" s="36">
        <v>3.4</v>
      </c>
      <c r="B43" s="47" t="s">
        <v>378</v>
      </c>
      <c r="C43" s="15" t="s">
        <v>17</v>
      </c>
      <c r="D43" s="16">
        <v>96.46</v>
      </c>
      <c r="E43" s="17"/>
      <c r="F43" s="48"/>
    </row>
    <row r="44" spans="1:8" ht="26.45">
      <c r="A44" s="36">
        <v>3.5</v>
      </c>
      <c r="B44" s="47" t="s">
        <v>379</v>
      </c>
      <c r="C44" s="15" t="s">
        <v>17</v>
      </c>
      <c r="D44" s="16">
        <f>310*0.4</f>
        <v>124</v>
      </c>
      <c r="E44" s="17"/>
      <c r="F44" s="48"/>
    </row>
    <row r="45" spans="1:8" ht="79.150000000000006">
      <c r="A45" s="36">
        <v>3.6</v>
      </c>
      <c r="B45" s="38" t="s">
        <v>380</v>
      </c>
      <c r="C45" s="49" t="s">
        <v>17</v>
      </c>
      <c r="D45" s="49">
        <f>823.21</f>
        <v>823.21</v>
      </c>
      <c r="E45" s="17"/>
      <c r="F45" s="48"/>
      <c r="G45" s="330"/>
      <c r="H45" s="331"/>
    </row>
    <row r="46" spans="1:8" ht="66">
      <c r="A46" s="36">
        <v>3.7</v>
      </c>
      <c r="B46" s="38" t="s">
        <v>381</v>
      </c>
      <c r="C46" s="49" t="s">
        <v>17</v>
      </c>
      <c r="D46" s="16">
        <f>D118</f>
        <v>1393.7</v>
      </c>
      <c r="E46" s="17"/>
      <c r="F46" s="48"/>
      <c r="G46" s="332"/>
      <c r="H46" s="333"/>
    </row>
    <row r="47" spans="1:8" ht="79.150000000000006">
      <c r="A47" s="36">
        <v>3.8</v>
      </c>
      <c r="B47" s="38" t="s">
        <v>382</v>
      </c>
      <c r="C47" s="49" t="s">
        <v>17</v>
      </c>
      <c r="D47" s="49">
        <v>346.66</v>
      </c>
      <c r="E47" s="17"/>
      <c r="F47" s="48"/>
      <c r="G47" s="276"/>
    </row>
    <row r="48" spans="1:8">
      <c r="A48" s="36">
        <v>3.9</v>
      </c>
      <c r="B48" s="38" t="s">
        <v>383</v>
      </c>
      <c r="C48" s="49" t="s">
        <v>12</v>
      </c>
      <c r="D48" s="49">
        <v>1</v>
      </c>
      <c r="E48" s="156"/>
      <c r="F48" s="48"/>
    </row>
    <row r="49" spans="1:10">
      <c r="A49" s="45"/>
      <c r="B49" s="18" t="s">
        <v>60</v>
      </c>
      <c r="C49" s="43"/>
      <c r="D49" s="50"/>
      <c r="E49" s="44"/>
      <c r="F49" s="40">
        <f>SUM(F40:F48)</f>
        <v>0</v>
      </c>
    </row>
    <row r="50" spans="1:10">
      <c r="A50" s="316"/>
      <c r="B50" s="317"/>
      <c r="C50" s="317"/>
      <c r="D50" s="317"/>
      <c r="E50" s="317"/>
      <c r="F50" s="318"/>
    </row>
    <row r="51" spans="1:10" ht="26.45" customHeight="1">
      <c r="A51" s="43" t="s">
        <v>61</v>
      </c>
      <c r="B51" s="97" t="s">
        <v>62</v>
      </c>
      <c r="C51" s="43"/>
      <c r="D51" s="46"/>
      <c r="E51" s="44"/>
      <c r="F51" s="39"/>
      <c r="G51" s="334"/>
      <c r="H51" s="335"/>
      <c r="I51" s="276"/>
      <c r="J51" s="276"/>
    </row>
    <row r="52" spans="1:10">
      <c r="A52" s="157">
        <v>4.0999999999999996</v>
      </c>
      <c r="B52" s="55" t="s">
        <v>63</v>
      </c>
      <c r="C52" s="43"/>
      <c r="D52" s="37"/>
      <c r="E52" s="44"/>
      <c r="F52" s="40"/>
    </row>
    <row r="53" spans="1:10" s="170" customFormat="1" ht="26.45">
      <c r="A53" s="51" t="s">
        <v>64</v>
      </c>
      <c r="B53" s="119" t="s">
        <v>525</v>
      </c>
      <c r="C53" s="41" t="s">
        <v>66</v>
      </c>
      <c r="D53" s="37">
        <v>13.8</v>
      </c>
      <c r="E53" s="53"/>
      <c r="F53" s="53"/>
    </row>
    <row r="54" spans="1:10">
      <c r="A54" s="51" t="s">
        <v>67</v>
      </c>
      <c r="B54" s="38" t="s">
        <v>68</v>
      </c>
      <c r="C54" s="41" t="s">
        <v>66</v>
      </c>
      <c r="D54" s="37">
        <v>1407.88</v>
      </c>
      <c r="E54" s="53"/>
      <c r="F54" s="53"/>
    </row>
    <row r="55" spans="1:10">
      <c r="A55" s="51" t="s">
        <v>385</v>
      </c>
      <c r="B55" s="38" t="s">
        <v>386</v>
      </c>
      <c r="C55" s="41" t="s">
        <v>12</v>
      </c>
      <c r="D55" s="37">
        <v>1</v>
      </c>
      <c r="E55" s="53"/>
      <c r="F55" s="53"/>
    </row>
    <row r="56" spans="1:10">
      <c r="A56" s="51" t="s">
        <v>387</v>
      </c>
      <c r="B56" s="38" t="s">
        <v>388</v>
      </c>
      <c r="C56" s="41" t="s">
        <v>66</v>
      </c>
      <c r="D56" s="37">
        <v>155.6</v>
      </c>
      <c r="E56" s="38"/>
      <c r="F56" s="38"/>
    </row>
    <row r="57" spans="1:10">
      <c r="A57" s="51" t="s">
        <v>389</v>
      </c>
      <c r="B57" s="38" t="s">
        <v>390</v>
      </c>
      <c r="C57" s="41" t="s">
        <v>66</v>
      </c>
      <c r="D57" s="37">
        <v>168.69</v>
      </c>
      <c r="E57" s="38"/>
      <c r="F57" s="38"/>
    </row>
    <row r="58" spans="1:10">
      <c r="A58" s="157">
        <v>4.2</v>
      </c>
      <c r="B58" s="55" t="s">
        <v>69</v>
      </c>
      <c r="C58" s="43"/>
      <c r="D58" s="37"/>
      <c r="E58" s="44"/>
      <c r="F58" s="40"/>
    </row>
    <row r="59" spans="1:10" s="170" customFormat="1" ht="39.6">
      <c r="A59" s="51" t="s">
        <v>70</v>
      </c>
      <c r="B59" s="38" t="s">
        <v>391</v>
      </c>
      <c r="C59" s="49" t="s">
        <v>17</v>
      </c>
      <c r="D59" s="37">
        <f>1521.48*1.05</f>
        <v>1597.5540000000001</v>
      </c>
      <c r="E59" s="53"/>
      <c r="F59" s="53"/>
    </row>
    <row r="60" spans="1:10" s="170" customFormat="1">
      <c r="A60" s="51" t="s">
        <v>72</v>
      </c>
      <c r="B60" s="38" t="s">
        <v>392</v>
      </c>
      <c r="C60" s="49" t="s">
        <v>66</v>
      </c>
      <c r="D60" s="37">
        <v>310</v>
      </c>
      <c r="E60" s="53"/>
      <c r="F60" s="53"/>
    </row>
    <row r="61" spans="1:10">
      <c r="A61" s="157">
        <v>4.3</v>
      </c>
      <c r="B61" s="55" t="s">
        <v>74</v>
      </c>
      <c r="C61" s="43"/>
      <c r="D61" s="37"/>
      <c r="E61" s="44"/>
      <c r="F61" s="40"/>
    </row>
    <row r="62" spans="1:10" ht="26.45">
      <c r="A62" s="51" t="s">
        <v>393</v>
      </c>
      <c r="B62" s="200" t="s">
        <v>394</v>
      </c>
      <c r="C62" s="49" t="s">
        <v>17</v>
      </c>
      <c r="D62" s="37">
        <v>413.1</v>
      </c>
      <c r="E62" s="53"/>
      <c r="F62" s="53"/>
    </row>
    <row r="63" spans="1:10">
      <c r="A63" s="51"/>
      <c r="B63" s="18" t="s">
        <v>77</v>
      </c>
      <c r="C63" s="41"/>
      <c r="D63" s="52"/>
      <c r="E63" s="53"/>
      <c r="F63" s="76">
        <f>SUM(F55:F62)</f>
        <v>0</v>
      </c>
    </row>
    <row r="64" spans="1:10">
      <c r="A64" s="319"/>
      <c r="B64" s="320"/>
      <c r="C64" s="320"/>
      <c r="D64" s="320"/>
      <c r="E64" s="320"/>
      <c r="F64" s="321"/>
    </row>
    <row r="65" spans="1:6" s="170" customFormat="1">
      <c r="A65" s="184" t="s">
        <v>78</v>
      </c>
      <c r="B65" s="185" t="s">
        <v>79</v>
      </c>
      <c r="C65" s="13"/>
      <c r="D65" s="186"/>
      <c r="E65" s="182"/>
      <c r="F65" s="65"/>
    </row>
    <row r="66" spans="1:6" s="170" customFormat="1">
      <c r="A66" s="13">
        <v>5.0999999999999996</v>
      </c>
      <c r="B66" s="55" t="s">
        <v>80</v>
      </c>
      <c r="C66" s="56"/>
      <c r="D66" s="52"/>
      <c r="E66" s="57"/>
      <c r="F66" s="58"/>
    </row>
    <row r="67" spans="1:6" s="170" customFormat="1" ht="26.45">
      <c r="A67" s="51" t="s">
        <v>81</v>
      </c>
      <c r="B67" s="59" t="s">
        <v>526</v>
      </c>
      <c r="C67" s="41"/>
      <c r="D67" s="52"/>
      <c r="E67" s="53"/>
      <c r="F67" s="53"/>
    </row>
    <row r="68" spans="1:6" s="170" customFormat="1">
      <c r="A68" s="51"/>
      <c r="B68" s="60" t="s">
        <v>527</v>
      </c>
      <c r="C68" s="41" t="s">
        <v>59</v>
      </c>
      <c r="D68" s="52">
        <v>1</v>
      </c>
      <c r="E68" s="53"/>
      <c r="F68" s="53"/>
    </row>
    <row r="69" spans="1:6" s="170" customFormat="1">
      <c r="A69" s="51"/>
      <c r="B69" s="60" t="s">
        <v>528</v>
      </c>
      <c r="C69" s="41" t="s">
        <v>59</v>
      </c>
      <c r="D69" s="52">
        <v>1</v>
      </c>
      <c r="E69" s="53"/>
      <c r="F69" s="53"/>
    </row>
    <row r="70" spans="1:6" s="170" customFormat="1">
      <c r="A70" s="51"/>
      <c r="B70" s="60" t="s">
        <v>529</v>
      </c>
      <c r="C70" s="41" t="s">
        <v>59</v>
      </c>
      <c r="D70" s="52">
        <v>1</v>
      </c>
      <c r="E70" s="53"/>
      <c r="F70" s="53"/>
    </row>
    <row r="71" spans="1:6" s="170" customFormat="1">
      <c r="A71" s="51"/>
      <c r="B71" s="60" t="s">
        <v>530</v>
      </c>
      <c r="C71" s="41" t="s">
        <v>59</v>
      </c>
      <c r="D71" s="52">
        <v>5</v>
      </c>
      <c r="E71" s="53"/>
      <c r="F71" s="53"/>
    </row>
    <row r="72" spans="1:6" s="170" customFormat="1">
      <c r="A72" s="51"/>
      <c r="B72" s="60" t="s">
        <v>531</v>
      </c>
      <c r="C72" s="41" t="s">
        <v>59</v>
      </c>
      <c r="D72" s="52">
        <v>1</v>
      </c>
      <c r="E72" s="53"/>
      <c r="F72" s="53"/>
    </row>
    <row r="73" spans="1:6" s="170" customFormat="1">
      <c r="A73" s="51"/>
      <c r="B73" s="60" t="s">
        <v>532</v>
      </c>
      <c r="C73" s="41" t="s">
        <v>59</v>
      </c>
      <c r="D73" s="52">
        <v>26</v>
      </c>
      <c r="E73" s="53"/>
      <c r="F73" s="53"/>
    </row>
    <row r="74" spans="1:6" s="170" customFormat="1">
      <c r="A74" s="51"/>
      <c r="B74" s="60" t="s">
        <v>533</v>
      </c>
      <c r="C74" s="41" t="s">
        <v>59</v>
      </c>
      <c r="D74" s="52">
        <v>1</v>
      </c>
      <c r="E74" s="53"/>
      <c r="F74" s="53"/>
    </row>
    <row r="75" spans="1:6" s="170" customFormat="1">
      <c r="A75" s="51"/>
      <c r="B75" s="60" t="s">
        <v>534</v>
      </c>
      <c r="C75" s="41" t="s">
        <v>59</v>
      </c>
      <c r="D75" s="52">
        <v>1</v>
      </c>
      <c r="E75" s="53"/>
      <c r="F75" s="53"/>
    </row>
    <row r="76" spans="1:6" s="170" customFormat="1">
      <c r="A76" s="51"/>
      <c r="B76" s="60" t="s">
        <v>535</v>
      </c>
      <c r="C76" s="41" t="s">
        <v>59</v>
      </c>
      <c r="D76" s="52">
        <v>14</v>
      </c>
      <c r="E76" s="53"/>
      <c r="F76" s="53"/>
    </row>
    <row r="77" spans="1:6" s="170" customFormat="1">
      <c r="A77" s="51"/>
      <c r="B77" s="60"/>
      <c r="C77" s="41"/>
      <c r="D77" s="52"/>
      <c r="E77" s="53"/>
      <c r="F77" s="53"/>
    </row>
    <row r="78" spans="1:6" s="170" customFormat="1" ht="26.45">
      <c r="A78" s="51" t="s">
        <v>399</v>
      </c>
      <c r="B78" s="59" t="s">
        <v>400</v>
      </c>
      <c r="C78" s="41"/>
      <c r="D78" s="52"/>
      <c r="E78" s="53"/>
      <c r="F78" s="53"/>
    </row>
    <row r="79" spans="1:6" s="170" customFormat="1">
      <c r="A79" s="51"/>
      <c r="B79" s="60" t="s">
        <v>536</v>
      </c>
      <c r="C79" s="41" t="s">
        <v>59</v>
      </c>
      <c r="D79" s="52">
        <v>3</v>
      </c>
      <c r="E79" s="53"/>
      <c r="F79" s="53"/>
    </row>
    <row r="80" spans="1:6" s="170" customFormat="1">
      <c r="A80" s="51"/>
      <c r="B80" s="60" t="s">
        <v>537</v>
      </c>
      <c r="C80" s="41" t="s">
        <v>59</v>
      </c>
      <c r="D80" s="52">
        <v>6</v>
      </c>
      <c r="E80" s="53"/>
      <c r="F80" s="53"/>
    </row>
    <row r="81" spans="1:6" s="170" customFormat="1">
      <c r="A81" s="51"/>
      <c r="B81" s="60"/>
      <c r="C81" s="41"/>
      <c r="D81" s="52"/>
      <c r="E81" s="53"/>
      <c r="F81" s="53"/>
    </row>
    <row r="82" spans="1:6" s="170" customFormat="1" ht="26.45">
      <c r="A82" s="51" t="s">
        <v>95</v>
      </c>
      <c r="B82" s="59" t="s">
        <v>402</v>
      </c>
      <c r="C82" s="41"/>
      <c r="D82" s="52"/>
      <c r="E82" s="53"/>
      <c r="F82" s="53"/>
    </row>
    <row r="83" spans="1:6" s="170" customFormat="1">
      <c r="A83" s="51"/>
      <c r="B83" s="60" t="s">
        <v>94</v>
      </c>
      <c r="C83" s="41" t="s">
        <v>59</v>
      </c>
      <c r="D83" s="52">
        <v>19</v>
      </c>
      <c r="E83" s="53"/>
      <c r="F83" s="53"/>
    </row>
    <row r="84" spans="1:6" s="170" customFormat="1">
      <c r="A84" s="51"/>
      <c r="B84" s="60" t="s">
        <v>538</v>
      </c>
      <c r="C84" s="41" t="s">
        <v>59</v>
      </c>
      <c r="D84" s="52">
        <v>2</v>
      </c>
      <c r="E84" s="53"/>
      <c r="F84" s="53"/>
    </row>
    <row r="85" spans="1:6" s="170" customFormat="1">
      <c r="A85" s="13"/>
      <c r="B85" s="61" t="s">
        <v>84</v>
      </c>
      <c r="C85" s="13"/>
      <c r="D85" s="62"/>
      <c r="E85" s="63"/>
      <c r="F85" s="64">
        <f>SUM(F68:F84)</f>
        <v>0</v>
      </c>
    </row>
    <row r="86" spans="1:6">
      <c r="A86" s="120"/>
      <c r="B86" s="173"/>
      <c r="C86" s="120"/>
      <c r="D86" s="174"/>
      <c r="E86" s="175"/>
      <c r="F86" s="172"/>
    </row>
    <row r="87" spans="1:6" s="170" customFormat="1">
      <c r="A87" s="13">
        <v>5.2</v>
      </c>
      <c r="B87" s="66" t="s">
        <v>85</v>
      </c>
      <c r="C87" s="67"/>
      <c r="D87" s="52"/>
      <c r="E87" s="57"/>
      <c r="F87" s="57"/>
    </row>
    <row r="88" spans="1:6" s="170" customFormat="1" ht="26.45">
      <c r="A88" s="51" t="s">
        <v>86</v>
      </c>
      <c r="B88" s="59" t="s">
        <v>406</v>
      </c>
      <c r="C88" s="41"/>
      <c r="D88" s="52"/>
      <c r="E88" s="53"/>
      <c r="F88" s="53"/>
    </row>
    <row r="89" spans="1:6" s="170" customFormat="1">
      <c r="A89" s="51"/>
      <c r="B89" s="60" t="s">
        <v>88</v>
      </c>
      <c r="C89" s="41" t="s">
        <v>59</v>
      </c>
      <c r="D89" s="52">
        <v>13</v>
      </c>
      <c r="E89" s="53"/>
      <c r="F89" s="53"/>
    </row>
    <row r="90" spans="1:6" s="170" customFormat="1">
      <c r="A90" s="51"/>
      <c r="B90" s="60" t="s">
        <v>89</v>
      </c>
      <c r="C90" s="41" t="s">
        <v>59</v>
      </c>
      <c r="D90" s="52">
        <v>5</v>
      </c>
      <c r="E90" s="53"/>
      <c r="F90" s="53"/>
    </row>
    <row r="91" spans="1:6" s="170" customFormat="1">
      <c r="A91" s="51"/>
      <c r="B91" s="60" t="s">
        <v>90</v>
      </c>
      <c r="C91" s="41" t="s">
        <v>59</v>
      </c>
      <c r="D91" s="52">
        <v>26</v>
      </c>
      <c r="E91" s="53"/>
      <c r="F91" s="53"/>
    </row>
    <row r="92" spans="1:6" s="170" customFormat="1">
      <c r="A92" s="68"/>
      <c r="B92" s="61" t="s">
        <v>122</v>
      </c>
      <c r="C92" s="15"/>
      <c r="D92" s="52"/>
      <c r="E92" s="69"/>
      <c r="F92" s="64">
        <f>SUM(F89:F91)</f>
        <v>0</v>
      </c>
    </row>
    <row r="93" spans="1:6">
      <c r="A93" s="130"/>
      <c r="B93" s="130"/>
      <c r="C93" s="131"/>
      <c r="D93" s="93"/>
      <c r="E93" s="133"/>
      <c r="F93" s="126"/>
    </row>
    <row r="94" spans="1:6">
      <c r="A94" s="13">
        <v>5.3</v>
      </c>
      <c r="B94" s="66" t="s">
        <v>123</v>
      </c>
      <c r="C94" s="67"/>
      <c r="D94" s="52"/>
      <c r="E94" s="57"/>
      <c r="F94" s="57"/>
    </row>
    <row r="95" spans="1:6" ht="27.75" customHeight="1">
      <c r="A95" s="67" t="s">
        <v>124</v>
      </c>
      <c r="B95" s="70" t="s">
        <v>539</v>
      </c>
      <c r="C95" s="71"/>
      <c r="D95" s="72"/>
      <c r="E95" s="53"/>
      <c r="F95" s="53"/>
    </row>
    <row r="96" spans="1:6">
      <c r="A96" s="67"/>
      <c r="B96" s="60" t="s">
        <v>109</v>
      </c>
      <c r="C96" s="41" t="s">
        <v>59</v>
      </c>
      <c r="D96" s="52">
        <v>1</v>
      </c>
      <c r="E96" s="53"/>
      <c r="F96" s="53"/>
    </row>
    <row r="97" spans="1:6">
      <c r="A97" s="67"/>
      <c r="B97" s="60" t="s">
        <v>94</v>
      </c>
      <c r="C97" s="41" t="s">
        <v>59</v>
      </c>
      <c r="D97" s="52">
        <v>2</v>
      </c>
      <c r="E97" s="53"/>
      <c r="F97" s="53"/>
    </row>
    <row r="98" spans="1:6">
      <c r="A98" s="67"/>
      <c r="B98" s="60" t="s">
        <v>540</v>
      </c>
      <c r="C98" s="41" t="s">
        <v>59</v>
      </c>
      <c r="D98" s="52">
        <v>1</v>
      </c>
      <c r="E98" s="53"/>
      <c r="F98" s="53"/>
    </row>
    <row r="99" spans="1:6">
      <c r="A99" s="67"/>
      <c r="B99" s="60" t="s">
        <v>541</v>
      </c>
      <c r="C99" s="41" t="s">
        <v>59</v>
      </c>
      <c r="D99" s="52">
        <v>1</v>
      </c>
      <c r="E99" s="53"/>
      <c r="F99" s="53"/>
    </row>
    <row r="100" spans="1:6" ht="26.45">
      <c r="A100" s="67" t="s">
        <v>130</v>
      </c>
      <c r="B100" s="70" t="s">
        <v>159</v>
      </c>
      <c r="C100" s="71"/>
      <c r="D100" s="72"/>
      <c r="E100" s="53"/>
      <c r="F100" s="53"/>
    </row>
    <row r="101" spans="1:6">
      <c r="A101" s="67"/>
      <c r="B101" s="60" t="s">
        <v>542</v>
      </c>
      <c r="C101" s="41" t="s">
        <v>59</v>
      </c>
      <c r="D101" s="52">
        <v>1</v>
      </c>
      <c r="E101" s="53"/>
      <c r="F101" s="53"/>
    </row>
    <row r="102" spans="1:6">
      <c r="A102" s="67"/>
      <c r="B102" s="60" t="s">
        <v>403</v>
      </c>
      <c r="C102" s="41" t="s">
        <v>59</v>
      </c>
      <c r="D102" s="52">
        <v>3</v>
      </c>
      <c r="E102" s="53"/>
      <c r="F102" s="53"/>
    </row>
    <row r="103" spans="1:6" ht="39.6">
      <c r="A103" s="67" t="s">
        <v>133</v>
      </c>
      <c r="B103" s="70" t="s">
        <v>543</v>
      </c>
      <c r="C103" s="71"/>
      <c r="D103" s="72"/>
      <c r="E103" s="53"/>
      <c r="F103" s="53"/>
    </row>
    <row r="104" spans="1:6">
      <c r="A104" s="67"/>
      <c r="B104" s="60" t="s">
        <v>544</v>
      </c>
      <c r="C104" s="41" t="s">
        <v>59</v>
      </c>
      <c r="D104" s="52">
        <v>1</v>
      </c>
      <c r="E104" s="53"/>
      <c r="F104" s="53"/>
    </row>
    <row r="105" spans="1:6">
      <c r="A105" s="67"/>
      <c r="B105" s="60" t="s">
        <v>545</v>
      </c>
      <c r="C105" s="41" t="s">
        <v>59</v>
      </c>
      <c r="D105" s="52">
        <v>3</v>
      </c>
      <c r="E105" s="53"/>
      <c r="F105" s="53"/>
    </row>
    <row r="106" spans="1:6">
      <c r="A106" s="68"/>
      <c r="B106" s="61" t="s">
        <v>167</v>
      </c>
      <c r="C106" s="15"/>
      <c r="D106" s="52"/>
      <c r="E106" s="69"/>
      <c r="F106" s="64">
        <f>SUM(F95:F105)</f>
        <v>0</v>
      </c>
    </row>
    <row r="107" spans="1:6">
      <c r="A107" s="187"/>
      <c r="B107" s="61" t="s">
        <v>168</v>
      </c>
      <c r="C107" s="13"/>
      <c r="D107" s="186"/>
      <c r="E107" s="182"/>
      <c r="F107" s="64">
        <f>SUM(F106,F92,F85)</f>
        <v>0</v>
      </c>
    </row>
    <row r="108" spans="1:6">
      <c r="A108" s="316"/>
      <c r="B108" s="317"/>
      <c r="C108" s="317"/>
      <c r="D108" s="317"/>
      <c r="E108" s="317"/>
      <c r="F108" s="318"/>
    </row>
    <row r="109" spans="1:6">
      <c r="A109" s="68" t="s">
        <v>169</v>
      </c>
      <c r="B109" s="98" t="s">
        <v>170</v>
      </c>
      <c r="C109" s="56"/>
      <c r="D109" s="52"/>
      <c r="E109" s="57"/>
      <c r="F109" s="58"/>
    </row>
    <row r="110" spans="1:6" ht="26.45">
      <c r="A110" s="15">
        <v>6.1</v>
      </c>
      <c r="B110" s="74" t="s">
        <v>171</v>
      </c>
      <c r="C110" s="56" t="s">
        <v>17</v>
      </c>
      <c r="D110" s="52">
        <f>(864+914*0.1)*1.05</f>
        <v>1003.1700000000001</v>
      </c>
      <c r="E110" s="57"/>
      <c r="F110" s="53"/>
    </row>
    <row r="111" spans="1:6" ht="26.45">
      <c r="A111" s="15">
        <v>6.2</v>
      </c>
      <c r="B111" s="74" t="s">
        <v>408</v>
      </c>
      <c r="C111" s="56" t="s">
        <v>17</v>
      </c>
      <c r="D111" s="52">
        <f>194.8*1.05</f>
        <v>204.54000000000002</v>
      </c>
      <c r="E111" s="57"/>
      <c r="F111" s="53"/>
    </row>
    <row r="112" spans="1:6">
      <c r="A112" s="15">
        <v>6.3</v>
      </c>
      <c r="B112" s="74" t="s">
        <v>409</v>
      </c>
      <c r="C112" s="56" t="s">
        <v>17</v>
      </c>
      <c r="D112" s="52">
        <f>(175.75+648.73)</f>
        <v>824.48</v>
      </c>
      <c r="E112" s="57"/>
      <c r="F112" s="53"/>
    </row>
    <row r="113" spans="1:6" ht="26.45">
      <c r="A113" s="15">
        <v>6.4</v>
      </c>
      <c r="B113" s="74" t="s">
        <v>173</v>
      </c>
      <c r="C113" s="56" t="s">
        <v>17</v>
      </c>
      <c r="D113" s="52">
        <f>(344.68+134.34)*1.05</f>
        <v>502.971</v>
      </c>
      <c r="E113" s="57"/>
      <c r="F113" s="53"/>
    </row>
    <row r="114" spans="1:6">
      <c r="A114" s="15">
        <v>6.5</v>
      </c>
      <c r="B114" s="74" t="s">
        <v>410</v>
      </c>
      <c r="C114" s="56" t="s">
        <v>17</v>
      </c>
      <c r="D114" s="52">
        <f>1017*1.05</f>
        <v>1067.8500000000001</v>
      </c>
      <c r="E114" s="57"/>
      <c r="F114" s="53"/>
    </row>
    <row r="115" spans="1:6">
      <c r="A115" s="56"/>
      <c r="B115" s="61" t="s">
        <v>175</v>
      </c>
      <c r="C115" s="56"/>
      <c r="D115" s="52"/>
      <c r="E115" s="75"/>
      <c r="F115" s="76">
        <f>SUM(F110:F114)</f>
        <v>0</v>
      </c>
    </row>
    <row r="116" spans="1:6">
      <c r="A116" s="310"/>
      <c r="B116" s="311"/>
      <c r="C116" s="311"/>
      <c r="D116" s="311"/>
      <c r="E116" s="311"/>
      <c r="F116" s="312"/>
    </row>
    <row r="117" spans="1:6">
      <c r="A117" s="68" t="s">
        <v>176</v>
      </c>
      <c r="B117" s="99" t="s">
        <v>177</v>
      </c>
      <c r="C117" s="74"/>
      <c r="D117" s="74"/>
      <c r="E117" s="74"/>
      <c r="F117" s="74"/>
    </row>
    <row r="118" spans="1:6">
      <c r="A118" s="73">
        <v>7.1</v>
      </c>
      <c r="B118" s="74" t="s">
        <v>178</v>
      </c>
      <c r="C118" s="56" t="s">
        <v>17</v>
      </c>
      <c r="D118" s="52">
        <f>1267*1.1</f>
        <v>1393.7</v>
      </c>
      <c r="E118" s="57"/>
      <c r="F118" s="53"/>
    </row>
    <row r="119" spans="1:6">
      <c r="A119" s="73">
        <v>7.2</v>
      </c>
      <c r="B119" s="74" t="s">
        <v>179</v>
      </c>
      <c r="C119" s="56" t="s">
        <v>17</v>
      </c>
      <c r="D119" s="52">
        <f>D114</f>
        <v>1067.8500000000001</v>
      </c>
      <c r="E119" s="57"/>
      <c r="F119" s="53"/>
    </row>
    <row r="120" spans="1:6">
      <c r="A120" s="73">
        <v>7.3</v>
      </c>
      <c r="B120" s="74" t="s">
        <v>180</v>
      </c>
      <c r="C120" s="56" t="s">
        <v>17</v>
      </c>
      <c r="D120" s="52">
        <f>D45</f>
        <v>823.21</v>
      </c>
      <c r="E120" s="57"/>
      <c r="F120" s="53"/>
    </row>
    <row r="121" spans="1:6">
      <c r="A121" s="73">
        <v>7.4</v>
      </c>
      <c r="B121" s="74" t="s">
        <v>181</v>
      </c>
      <c r="C121" s="56" t="s">
        <v>12</v>
      </c>
      <c r="D121" s="52">
        <v>1</v>
      </c>
      <c r="E121" s="57"/>
      <c r="F121" s="53"/>
    </row>
    <row r="122" spans="1:6">
      <c r="A122" s="56"/>
      <c r="B122" s="61" t="s">
        <v>182</v>
      </c>
      <c r="C122" s="56"/>
      <c r="D122" s="52"/>
      <c r="E122" s="57"/>
      <c r="F122" s="64">
        <f>SUM(F118:F121)</f>
        <v>0</v>
      </c>
    </row>
    <row r="123" spans="1:6" s="179" customFormat="1">
      <c r="A123" s="326"/>
      <c r="B123" s="327"/>
      <c r="C123" s="327"/>
      <c r="D123" s="327"/>
      <c r="E123" s="327"/>
      <c r="F123" s="328"/>
    </row>
    <row r="124" spans="1:6" s="179" customFormat="1">
      <c r="A124" s="86" t="s">
        <v>183</v>
      </c>
      <c r="B124" s="88" t="s">
        <v>184</v>
      </c>
      <c r="C124" s="90"/>
      <c r="D124" s="91"/>
      <c r="E124" s="92"/>
      <c r="F124" s="92"/>
    </row>
    <row r="125" spans="1:6" s="179" customFormat="1" ht="27">
      <c r="A125" s="86">
        <v>8.1</v>
      </c>
      <c r="B125" s="140" t="s">
        <v>411</v>
      </c>
      <c r="C125" s="86"/>
      <c r="D125" s="141"/>
      <c r="E125" s="61"/>
      <c r="F125" s="76"/>
    </row>
    <row r="126" spans="1:6" s="179" customFormat="1" ht="26.45">
      <c r="A126" s="81" t="s">
        <v>186</v>
      </c>
      <c r="B126" s="38" t="s">
        <v>412</v>
      </c>
      <c r="C126" s="81" t="s">
        <v>12</v>
      </c>
      <c r="D126" s="49">
        <v>1</v>
      </c>
      <c r="E126" s="144"/>
      <c r="F126" s="53"/>
    </row>
    <row r="127" spans="1:6" s="179" customFormat="1">
      <c r="A127" s="81" t="s">
        <v>188</v>
      </c>
      <c r="B127" s="82" t="s">
        <v>189</v>
      </c>
      <c r="C127" s="81" t="s">
        <v>59</v>
      </c>
      <c r="D127" s="49">
        <v>6</v>
      </c>
      <c r="E127" s="144"/>
      <c r="F127" s="53"/>
    </row>
    <row r="128" spans="1:6" s="179" customFormat="1">
      <c r="A128" s="176"/>
      <c r="B128" s="61" t="s">
        <v>190</v>
      </c>
      <c r="C128" s="86"/>
      <c r="D128" s="141"/>
      <c r="E128" s="61"/>
      <c r="F128" s="64">
        <f>SUM(F126:F127)</f>
        <v>0</v>
      </c>
    </row>
    <row r="129" spans="1:6" s="179" customFormat="1">
      <c r="A129" s="176"/>
      <c r="B129" s="177"/>
      <c r="C129" s="176"/>
      <c r="D129" s="178"/>
      <c r="E129" s="173"/>
      <c r="F129" s="171"/>
    </row>
    <row r="130" spans="1:6" s="179" customFormat="1" ht="40.15">
      <c r="A130" s="86">
        <v>8.1999999999999993</v>
      </c>
      <c r="B130" s="140" t="s">
        <v>191</v>
      </c>
      <c r="C130" s="192" t="s">
        <v>192</v>
      </c>
      <c r="D130" s="193"/>
      <c r="E130" s="61"/>
      <c r="F130" s="194"/>
    </row>
    <row r="131" spans="1:6" s="179" customFormat="1">
      <c r="A131" s="81" t="s">
        <v>193</v>
      </c>
      <c r="B131" s="167" t="s">
        <v>413</v>
      </c>
      <c r="C131" s="166" t="s">
        <v>210</v>
      </c>
      <c r="D131" s="169">
        <v>1</v>
      </c>
      <c r="E131" s="57"/>
      <c r="F131" s="53"/>
    </row>
    <row r="132" spans="1:6" s="179" customFormat="1">
      <c r="A132" s="81" t="s">
        <v>195</v>
      </c>
      <c r="B132" s="167" t="s">
        <v>414</v>
      </c>
      <c r="C132" s="166" t="s">
        <v>210</v>
      </c>
      <c r="D132" s="169">
        <v>1</v>
      </c>
      <c r="E132" s="57"/>
      <c r="F132" s="53"/>
    </row>
    <row r="133" spans="1:6" s="179" customFormat="1" ht="15.6">
      <c r="A133" s="195"/>
      <c r="B133" s="61" t="s">
        <v>205</v>
      </c>
      <c r="C133" s="196" t="s">
        <v>192</v>
      </c>
      <c r="D133" s="197"/>
      <c r="E133" s="61"/>
      <c r="F133" s="64">
        <f>SUM(F131:F132)</f>
        <v>0</v>
      </c>
    </row>
    <row r="134" spans="1:6" s="179" customFormat="1">
      <c r="A134" s="176"/>
      <c r="B134" s="34"/>
      <c r="C134" s="176"/>
      <c r="D134" s="178"/>
      <c r="E134" s="173"/>
      <c r="F134" s="171"/>
    </row>
    <row r="135" spans="1:6" s="179" customFormat="1" ht="15.6">
      <c r="A135" s="86">
        <v>8.3000000000000007</v>
      </c>
      <c r="B135" s="140" t="s">
        <v>206</v>
      </c>
      <c r="C135" s="198"/>
      <c r="D135" s="199"/>
      <c r="E135" s="61"/>
      <c r="F135" s="76"/>
    </row>
    <row r="136" spans="1:6" s="179" customFormat="1" ht="40.15">
      <c r="A136" s="158" t="s">
        <v>207</v>
      </c>
      <c r="B136" s="140" t="s">
        <v>208</v>
      </c>
      <c r="C136" s="198"/>
      <c r="D136" s="199"/>
      <c r="E136" s="61"/>
      <c r="F136" s="76"/>
    </row>
    <row r="137" spans="1:6" s="179" customFormat="1">
      <c r="A137" s="73" t="s">
        <v>209</v>
      </c>
      <c r="B137" s="167" t="s">
        <v>415</v>
      </c>
      <c r="C137" s="166" t="s">
        <v>210</v>
      </c>
      <c r="D137" s="169">
        <v>1</v>
      </c>
      <c r="E137" s="113"/>
      <c r="F137" s="168"/>
    </row>
    <row r="138" spans="1:6" s="179" customFormat="1">
      <c r="A138" s="86"/>
      <c r="B138" s="61" t="s">
        <v>211</v>
      </c>
      <c r="C138" s="86"/>
      <c r="D138" s="141"/>
      <c r="E138" s="61"/>
      <c r="F138" s="76">
        <f>F137</f>
        <v>0</v>
      </c>
    </row>
    <row r="139" spans="1:6" s="179" customFormat="1">
      <c r="A139" s="86"/>
      <c r="B139" s="61" t="s">
        <v>212</v>
      </c>
      <c r="C139" s="90"/>
      <c r="D139" s="91"/>
      <c r="E139" s="61"/>
      <c r="F139" s="64">
        <f>SUM(F138,F133,F128)</f>
        <v>0</v>
      </c>
    </row>
    <row r="140" spans="1:6">
      <c r="A140" s="313"/>
      <c r="B140" s="314"/>
      <c r="C140" s="314"/>
      <c r="D140" s="314"/>
      <c r="E140" s="314"/>
      <c r="F140" s="315"/>
    </row>
    <row r="141" spans="1:6">
      <c r="A141" s="86" t="s">
        <v>213</v>
      </c>
      <c r="B141" s="88" t="s">
        <v>214</v>
      </c>
      <c r="C141" s="84"/>
      <c r="D141" s="85"/>
      <c r="E141" s="57"/>
      <c r="F141" s="87"/>
    </row>
    <row r="142" spans="1:6" ht="27">
      <c r="A142" s="86">
        <v>9.1</v>
      </c>
      <c r="B142" s="140" t="s">
        <v>215</v>
      </c>
      <c r="C142" s="84"/>
      <c r="D142" s="85"/>
      <c r="E142" s="57"/>
      <c r="F142" s="87"/>
    </row>
    <row r="143" spans="1:6" ht="39.6">
      <c r="A143" s="81" t="s">
        <v>216</v>
      </c>
      <c r="B143" s="38" t="s">
        <v>416</v>
      </c>
      <c r="C143" s="81" t="s">
        <v>59</v>
      </c>
      <c r="D143" s="49">
        <v>7</v>
      </c>
      <c r="E143" s="144"/>
      <c r="F143" s="53"/>
    </row>
    <row r="144" spans="1:6" ht="26.45">
      <c r="A144" s="81" t="s">
        <v>218</v>
      </c>
      <c r="B144" s="38" t="s">
        <v>417</v>
      </c>
      <c r="C144" s="81" t="s">
        <v>59</v>
      </c>
      <c r="D144" s="49">
        <v>10</v>
      </c>
      <c r="E144" s="144"/>
      <c r="F144" s="53"/>
    </row>
    <row r="145" spans="1:6" ht="26.45">
      <c r="A145" s="81" t="s">
        <v>220</v>
      </c>
      <c r="B145" s="38" t="s">
        <v>418</v>
      </c>
      <c r="C145" s="84" t="s">
        <v>59</v>
      </c>
      <c r="D145" s="49">
        <v>7</v>
      </c>
      <c r="E145" s="144"/>
      <c r="F145" s="53"/>
    </row>
    <row r="146" spans="1:6">
      <c r="A146" s="81" t="s">
        <v>222</v>
      </c>
      <c r="B146" s="82" t="s">
        <v>419</v>
      </c>
      <c r="C146" s="81" t="s">
        <v>59</v>
      </c>
      <c r="D146" s="49">
        <v>7</v>
      </c>
      <c r="E146" s="144"/>
      <c r="F146" s="53"/>
    </row>
    <row r="147" spans="1:6">
      <c r="A147" s="81" t="s">
        <v>224</v>
      </c>
      <c r="B147" s="82" t="s">
        <v>420</v>
      </c>
      <c r="C147" s="84" t="s">
        <v>59</v>
      </c>
      <c r="D147" s="145">
        <v>7</v>
      </c>
      <c r="E147" s="144"/>
      <c r="F147" s="53"/>
    </row>
    <row r="148" spans="1:6">
      <c r="A148" s="86"/>
      <c r="B148" s="89" t="s">
        <v>234</v>
      </c>
      <c r="C148" s="90"/>
      <c r="D148" s="91"/>
      <c r="E148" s="57"/>
      <c r="F148" s="64">
        <f>SUM(F143:F147)</f>
        <v>0</v>
      </c>
    </row>
    <row r="149" spans="1:6">
      <c r="A149" s="86">
        <v>9.1999999999999993</v>
      </c>
      <c r="B149" s="88" t="s">
        <v>235</v>
      </c>
      <c r="C149" s="84"/>
      <c r="D149" s="85"/>
      <c r="E149" s="57"/>
      <c r="F149" s="87"/>
    </row>
    <row r="150" spans="1:6">
      <c r="A150" s="81" t="s">
        <v>238</v>
      </c>
      <c r="B150" s="82" t="s">
        <v>239</v>
      </c>
      <c r="C150" s="84" t="s">
        <v>59</v>
      </c>
      <c r="D150" s="145">
        <v>7</v>
      </c>
      <c r="E150" s="144"/>
      <c r="F150" s="53"/>
    </row>
    <row r="151" spans="1:6">
      <c r="A151" s="81" t="s">
        <v>240</v>
      </c>
      <c r="B151" s="82" t="s">
        <v>421</v>
      </c>
      <c r="C151" s="84" t="s">
        <v>59</v>
      </c>
      <c r="D151" s="145">
        <v>7</v>
      </c>
      <c r="E151" s="144"/>
      <c r="F151" s="53"/>
    </row>
    <row r="152" spans="1:6">
      <c r="A152" s="81" t="s">
        <v>242</v>
      </c>
      <c r="B152" s="82" t="s">
        <v>245</v>
      </c>
      <c r="C152" s="84" t="s">
        <v>59</v>
      </c>
      <c r="D152" s="145">
        <v>7</v>
      </c>
      <c r="E152" s="144"/>
      <c r="F152" s="53"/>
    </row>
    <row r="153" spans="1:6">
      <c r="A153" s="81" t="s">
        <v>244</v>
      </c>
      <c r="B153" s="82" t="s">
        <v>247</v>
      </c>
      <c r="C153" s="84" t="s">
        <v>59</v>
      </c>
      <c r="D153" s="145">
        <v>10</v>
      </c>
      <c r="E153" s="144"/>
      <c r="F153" s="53"/>
    </row>
    <row r="154" spans="1:6">
      <c r="A154" s="81" t="s">
        <v>246</v>
      </c>
      <c r="B154" s="82" t="s">
        <v>249</v>
      </c>
      <c r="C154" s="84" t="s">
        <v>59</v>
      </c>
      <c r="D154" s="145">
        <v>24</v>
      </c>
      <c r="E154" s="144"/>
      <c r="F154" s="53"/>
    </row>
    <row r="155" spans="1:6">
      <c r="A155" s="86"/>
      <c r="B155" s="89" t="s">
        <v>250</v>
      </c>
      <c r="C155" s="90"/>
      <c r="D155" s="91"/>
      <c r="E155" s="57"/>
      <c r="F155" s="64">
        <f>SUM(F150:F154)</f>
        <v>0</v>
      </c>
    </row>
    <row r="156" spans="1:6">
      <c r="A156" s="81"/>
      <c r="B156" s="61" t="s">
        <v>251</v>
      </c>
      <c r="C156" s="84"/>
      <c r="D156" s="85"/>
      <c r="E156" s="57"/>
      <c r="F156" s="76">
        <f>SUM(F155,F148)</f>
        <v>0</v>
      </c>
    </row>
    <row r="157" spans="1:6">
      <c r="A157" s="23"/>
      <c r="B157" s="21"/>
      <c r="C157" s="24"/>
      <c r="D157" s="25"/>
      <c r="E157" s="20"/>
      <c r="F157" s="22"/>
    </row>
    <row r="158" spans="1:6" ht="26.45">
      <c r="A158" s="13" t="s">
        <v>252</v>
      </c>
      <c r="B158" s="59" t="s">
        <v>253</v>
      </c>
      <c r="C158" s="41"/>
      <c r="D158" s="93"/>
      <c r="E158" s="57"/>
      <c r="F158" s="94"/>
    </row>
    <row r="159" spans="1:6">
      <c r="A159" s="120"/>
      <c r="B159" s="34"/>
      <c r="C159" s="121"/>
      <c r="D159" s="93"/>
      <c r="E159" s="57"/>
      <c r="F159" s="94"/>
    </row>
    <row r="160" spans="1:6">
      <c r="A160" s="104">
        <v>10.1</v>
      </c>
      <c r="B160" s="59" t="s">
        <v>254</v>
      </c>
      <c r="C160" s="35"/>
      <c r="D160" s="122"/>
      <c r="E160" s="57"/>
      <c r="F160" s="123"/>
    </row>
    <row r="161" spans="1:6" ht="26.45">
      <c r="A161" s="41" t="s">
        <v>422</v>
      </c>
      <c r="B161" s="124" t="s">
        <v>423</v>
      </c>
      <c r="C161" s="72" t="s">
        <v>12</v>
      </c>
      <c r="D161" s="72">
        <v>1</v>
      </c>
      <c r="E161" s="57"/>
      <c r="F161" s="53"/>
    </row>
    <row r="162" spans="1:6">
      <c r="A162" s="41" t="s">
        <v>424</v>
      </c>
      <c r="B162" s="124" t="s">
        <v>425</v>
      </c>
      <c r="C162" s="72" t="s">
        <v>12</v>
      </c>
      <c r="D162" s="72">
        <v>1</v>
      </c>
      <c r="E162" s="57"/>
      <c r="F162" s="53"/>
    </row>
    <row r="163" spans="1:6" ht="118.9">
      <c r="A163" s="41" t="s">
        <v>255</v>
      </c>
      <c r="B163" s="124" t="s">
        <v>258</v>
      </c>
      <c r="C163" s="41" t="s">
        <v>12</v>
      </c>
      <c r="D163" s="72">
        <v>1</v>
      </c>
      <c r="E163" s="57"/>
      <c r="F163" s="53"/>
    </row>
    <row r="164" spans="1:6" ht="39.6">
      <c r="A164" s="41" t="s">
        <v>257</v>
      </c>
      <c r="B164" s="124" t="s">
        <v>262</v>
      </c>
      <c r="C164" s="41" t="s">
        <v>59</v>
      </c>
      <c r="D164" s="72">
        <v>1</v>
      </c>
      <c r="E164" s="57"/>
      <c r="F164" s="53"/>
    </row>
    <row r="165" spans="1:6" ht="27.75" customHeight="1">
      <c r="A165" s="41" t="s">
        <v>259</v>
      </c>
      <c r="B165" s="124" t="s">
        <v>263</v>
      </c>
      <c r="C165" s="41" t="s">
        <v>59</v>
      </c>
      <c r="D165" s="72">
        <v>1</v>
      </c>
      <c r="E165" s="57"/>
      <c r="F165" s="53"/>
    </row>
    <row r="166" spans="1:6" ht="79.150000000000006">
      <c r="A166" s="41" t="s">
        <v>261</v>
      </c>
      <c r="B166" s="124" t="s">
        <v>264</v>
      </c>
      <c r="C166" s="41" t="s">
        <v>12</v>
      </c>
      <c r="D166" s="72">
        <v>1</v>
      </c>
      <c r="E166" s="57"/>
      <c r="F166" s="53"/>
    </row>
    <row r="167" spans="1:6" ht="52.9">
      <c r="A167" s="41" t="s">
        <v>426</v>
      </c>
      <c r="B167" s="124" t="s">
        <v>546</v>
      </c>
      <c r="C167" s="72" t="s">
        <v>59</v>
      </c>
      <c r="D167" s="72">
        <v>1</v>
      </c>
      <c r="E167" s="57"/>
      <c r="F167" s="53"/>
    </row>
    <row r="168" spans="1:6" ht="26.45">
      <c r="A168" s="41" t="s">
        <v>428</v>
      </c>
      <c r="B168" s="124" t="s">
        <v>429</v>
      </c>
      <c r="C168" s="72" t="s">
        <v>59</v>
      </c>
      <c r="D168" s="72">
        <v>1</v>
      </c>
      <c r="E168" s="57"/>
      <c r="F168" s="53"/>
    </row>
    <row r="169" spans="1:6" ht="26.45">
      <c r="A169" s="41" t="s">
        <v>430</v>
      </c>
      <c r="B169" s="124" t="s">
        <v>431</v>
      </c>
      <c r="C169" s="41" t="s">
        <v>12</v>
      </c>
      <c r="D169" s="72">
        <v>1</v>
      </c>
      <c r="E169" s="57"/>
      <c r="F169" s="53"/>
    </row>
    <row r="170" spans="1:6" ht="26.45">
      <c r="A170" s="41" t="s">
        <v>432</v>
      </c>
      <c r="B170" s="124" t="s">
        <v>433</v>
      </c>
      <c r="C170" s="41" t="s">
        <v>12</v>
      </c>
      <c r="D170" s="72">
        <v>1</v>
      </c>
      <c r="E170" s="57"/>
      <c r="F170" s="53"/>
    </row>
    <row r="171" spans="1:6">
      <c r="A171" s="121"/>
      <c r="B171" s="125" t="s">
        <v>269</v>
      </c>
      <c r="C171" s="41"/>
      <c r="D171" s="52"/>
      <c r="E171" s="57"/>
      <c r="F171" s="64">
        <f>SUM(F161:F170)</f>
        <v>0</v>
      </c>
    </row>
    <row r="172" spans="1:6">
      <c r="A172" s="104">
        <v>10.199999999999999</v>
      </c>
      <c r="B172" s="59" t="s">
        <v>270</v>
      </c>
      <c r="C172" s="41"/>
      <c r="D172" s="52"/>
      <c r="E172" s="57"/>
      <c r="F172" s="76"/>
    </row>
    <row r="173" spans="1:6" ht="66">
      <c r="A173" s="41" t="s">
        <v>271</v>
      </c>
      <c r="B173" s="124" t="s">
        <v>434</v>
      </c>
      <c r="C173" s="72" t="s">
        <v>12</v>
      </c>
      <c r="D173" s="72">
        <v>1</v>
      </c>
      <c r="E173" s="57"/>
      <c r="F173" s="53"/>
    </row>
    <row r="174" spans="1:6" ht="26.45">
      <c r="A174" s="41" t="s">
        <v>435</v>
      </c>
      <c r="B174" s="124" t="s">
        <v>273</v>
      </c>
      <c r="C174" s="72" t="s">
        <v>12</v>
      </c>
      <c r="D174" s="72">
        <v>1</v>
      </c>
      <c r="E174" s="57"/>
      <c r="F174" s="53"/>
    </row>
    <row r="175" spans="1:6" ht="26.45">
      <c r="A175" s="41" t="s">
        <v>436</v>
      </c>
      <c r="B175" s="124" t="s">
        <v>437</v>
      </c>
      <c r="C175" s="72" t="s">
        <v>59</v>
      </c>
      <c r="D175" s="72">
        <v>1</v>
      </c>
      <c r="E175" s="57"/>
      <c r="F175" s="53"/>
    </row>
    <row r="176" spans="1:6" ht="26.45">
      <c r="A176" s="41" t="s">
        <v>438</v>
      </c>
      <c r="B176" s="124" t="s">
        <v>547</v>
      </c>
      <c r="C176" s="72" t="s">
        <v>59</v>
      </c>
      <c r="D176" s="72">
        <v>1</v>
      </c>
      <c r="E176" s="57"/>
      <c r="F176" s="53"/>
    </row>
    <row r="177" spans="1:6">
      <c r="A177" s="41" t="s">
        <v>440</v>
      </c>
      <c r="B177" s="124" t="s">
        <v>548</v>
      </c>
      <c r="C177" s="72" t="s">
        <v>59</v>
      </c>
      <c r="D177" s="72">
        <v>1</v>
      </c>
      <c r="E177" s="57"/>
      <c r="F177" s="53"/>
    </row>
    <row r="178" spans="1:6">
      <c r="A178" s="121"/>
      <c r="B178" s="125" t="s">
        <v>279</v>
      </c>
      <c r="C178" s="41"/>
      <c r="D178" s="52"/>
      <c r="E178" s="57"/>
      <c r="F178" s="64">
        <f>SUM(F173:F177)</f>
        <v>0</v>
      </c>
    </row>
    <row r="179" spans="1:6">
      <c r="A179" s="104">
        <v>10.3</v>
      </c>
      <c r="B179" s="59" t="s">
        <v>280</v>
      </c>
      <c r="C179" s="41"/>
      <c r="D179" s="52"/>
      <c r="E179" s="57"/>
      <c r="F179" s="53"/>
    </row>
    <row r="180" spans="1:6">
      <c r="A180" s="41" t="s">
        <v>281</v>
      </c>
      <c r="B180" s="124" t="s">
        <v>282</v>
      </c>
      <c r="C180" s="41" t="s">
        <v>59</v>
      </c>
      <c r="D180" s="72">
        <v>14</v>
      </c>
      <c r="E180" s="57"/>
      <c r="F180" s="53"/>
    </row>
    <row r="181" spans="1:6">
      <c r="A181" s="41" t="s">
        <v>442</v>
      </c>
      <c r="B181" s="124" t="s">
        <v>443</v>
      </c>
      <c r="C181" s="41" t="s">
        <v>59</v>
      </c>
      <c r="D181" s="72">
        <v>82</v>
      </c>
      <c r="E181" s="57"/>
      <c r="F181" s="53"/>
    </row>
    <row r="182" spans="1:6">
      <c r="A182" s="41" t="s">
        <v>444</v>
      </c>
      <c r="B182" s="124" t="s">
        <v>445</v>
      </c>
      <c r="C182" s="41" t="s">
        <v>59</v>
      </c>
      <c r="D182" s="72">
        <v>16</v>
      </c>
      <c r="E182" s="57"/>
      <c r="F182" s="53"/>
    </row>
    <row r="183" spans="1:6">
      <c r="A183" s="41" t="s">
        <v>446</v>
      </c>
      <c r="B183" s="124" t="s">
        <v>447</v>
      </c>
      <c r="C183" s="41" t="s">
        <v>59</v>
      </c>
      <c r="D183" s="72">
        <v>99</v>
      </c>
      <c r="E183" s="57"/>
      <c r="F183" s="53"/>
    </row>
    <row r="184" spans="1:6">
      <c r="A184" s="41" t="s">
        <v>448</v>
      </c>
      <c r="B184" s="124" t="s">
        <v>449</v>
      </c>
      <c r="C184" s="41" t="s">
        <v>59</v>
      </c>
      <c r="D184" s="72">
        <v>10</v>
      </c>
      <c r="E184" s="57"/>
      <c r="F184" s="53"/>
    </row>
    <row r="185" spans="1:6">
      <c r="A185" s="41"/>
      <c r="B185" s="125" t="s">
        <v>286</v>
      </c>
      <c r="C185" s="41"/>
      <c r="D185" s="72"/>
      <c r="E185" s="57"/>
      <c r="F185" s="64">
        <f>SUM(F180:F184)</f>
        <v>0</v>
      </c>
    </row>
    <row r="186" spans="1:6">
      <c r="A186" s="104">
        <v>10.4</v>
      </c>
      <c r="B186" s="59" t="s">
        <v>287</v>
      </c>
      <c r="C186" s="41"/>
      <c r="D186" s="52"/>
      <c r="E186" s="57"/>
      <c r="F186" s="53"/>
    </row>
    <row r="187" spans="1:6">
      <c r="A187" s="41" t="s">
        <v>288</v>
      </c>
      <c r="B187" s="124" t="s">
        <v>289</v>
      </c>
      <c r="C187" s="41" t="s">
        <v>59</v>
      </c>
      <c r="D187" s="72">
        <v>38</v>
      </c>
      <c r="E187" s="57"/>
      <c r="F187" s="53"/>
    </row>
    <row r="188" spans="1:6">
      <c r="A188" s="41" t="s">
        <v>450</v>
      </c>
      <c r="B188" s="124" t="s">
        <v>451</v>
      </c>
      <c r="C188" s="41" t="s">
        <v>59</v>
      </c>
      <c r="D188" s="72">
        <v>20</v>
      </c>
      <c r="E188" s="57"/>
      <c r="F188" s="53"/>
    </row>
    <row r="189" spans="1:6">
      <c r="A189" s="41" t="s">
        <v>452</v>
      </c>
      <c r="B189" s="124" t="s">
        <v>453</v>
      </c>
      <c r="C189" s="41" t="s">
        <v>59</v>
      </c>
      <c r="D189" s="72">
        <v>15</v>
      </c>
      <c r="E189" s="57"/>
      <c r="F189" s="53"/>
    </row>
    <row r="190" spans="1:6">
      <c r="A190" s="41" t="s">
        <v>454</v>
      </c>
      <c r="B190" s="124" t="s">
        <v>455</v>
      </c>
      <c r="C190" s="41" t="s">
        <v>59</v>
      </c>
      <c r="D190" s="72">
        <v>20</v>
      </c>
      <c r="E190" s="57"/>
      <c r="F190" s="53"/>
    </row>
    <row r="191" spans="1:6">
      <c r="A191" s="41" t="s">
        <v>456</v>
      </c>
      <c r="B191" s="124" t="s">
        <v>293</v>
      </c>
      <c r="C191" s="41" t="s">
        <v>59</v>
      </c>
      <c r="D191" s="72">
        <v>76</v>
      </c>
      <c r="E191" s="57"/>
      <c r="F191" s="53"/>
    </row>
    <row r="192" spans="1:6" ht="26.45">
      <c r="A192" s="41" t="s">
        <v>457</v>
      </c>
      <c r="B192" s="124" t="s">
        <v>295</v>
      </c>
      <c r="C192" s="41" t="s">
        <v>59</v>
      </c>
      <c r="D192" s="72">
        <v>23</v>
      </c>
      <c r="E192" s="57"/>
      <c r="F192" s="53"/>
    </row>
    <row r="193" spans="1:7">
      <c r="A193" s="121"/>
      <c r="B193" s="125" t="s">
        <v>297</v>
      </c>
      <c r="C193" s="41"/>
      <c r="D193" s="52"/>
      <c r="E193" s="57"/>
      <c r="F193" s="64">
        <f>SUM(F187:F192)</f>
        <v>0</v>
      </c>
    </row>
    <row r="194" spans="1:7">
      <c r="A194" s="35"/>
      <c r="B194" s="35"/>
      <c r="C194" s="35"/>
      <c r="D194" s="122"/>
      <c r="E194" s="173"/>
      <c r="F194" s="126"/>
      <c r="G194" s="179"/>
    </row>
    <row r="195" spans="1:7" s="170" customFormat="1">
      <c r="A195" s="86">
        <v>10.5</v>
      </c>
      <c r="B195" s="127" t="s">
        <v>298</v>
      </c>
      <c r="C195" s="104"/>
      <c r="D195" s="190"/>
      <c r="E195" s="61"/>
      <c r="F195" s="64"/>
      <c r="G195" s="183"/>
    </row>
    <row r="196" spans="1:7" s="170" customFormat="1">
      <c r="A196" s="271" t="s">
        <v>299</v>
      </c>
      <c r="B196" s="258" t="s">
        <v>458</v>
      </c>
      <c r="C196" s="259"/>
      <c r="D196" s="260"/>
      <c r="E196" s="255"/>
      <c r="F196" s="256"/>
      <c r="G196" s="183"/>
    </row>
    <row r="197" spans="1:7" s="170" customFormat="1" ht="39.6">
      <c r="A197" s="257"/>
      <c r="B197" s="258" t="s">
        <v>459</v>
      </c>
      <c r="C197" s="259"/>
      <c r="D197" s="260"/>
      <c r="E197" s="255" t="s">
        <v>460</v>
      </c>
      <c r="F197" s="256" t="s">
        <v>460</v>
      </c>
      <c r="G197" s="183"/>
    </row>
    <row r="198" spans="1:7" s="170" customFormat="1">
      <c r="A198" s="257"/>
      <c r="B198" s="95" t="s">
        <v>300</v>
      </c>
      <c r="C198" s="81" t="s">
        <v>59</v>
      </c>
      <c r="D198" s="96">
        <v>25</v>
      </c>
      <c r="E198" s="57"/>
      <c r="F198" s="53"/>
      <c r="G198" s="183"/>
    </row>
    <row r="199" spans="1:7" s="170" customFormat="1">
      <c r="A199" s="257"/>
      <c r="B199" s="95" t="s">
        <v>461</v>
      </c>
      <c r="C199" s="81" t="s">
        <v>59</v>
      </c>
      <c r="D199" s="96">
        <v>5</v>
      </c>
      <c r="E199" s="57"/>
      <c r="F199" s="53"/>
      <c r="G199" s="183"/>
    </row>
    <row r="200" spans="1:7" s="170" customFormat="1">
      <c r="A200" s="257"/>
      <c r="B200" s="95" t="s">
        <v>302</v>
      </c>
      <c r="C200" s="81" t="s">
        <v>59</v>
      </c>
      <c r="D200" s="96">
        <v>2</v>
      </c>
      <c r="E200" s="57"/>
      <c r="F200" s="53"/>
      <c r="G200" s="183"/>
    </row>
    <row r="201" spans="1:7">
      <c r="A201" s="262"/>
      <c r="B201" s="270" t="s">
        <v>462</v>
      </c>
      <c r="C201" s="263"/>
      <c r="D201" s="264"/>
      <c r="E201" s="265"/>
      <c r="F201" s="64">
        <f>SUBTOTAL(9,F197:F200)</f>
        <v>0</v>
      </c>
      <c r="G201" s="179"/>
    </row>
    <row r="202" spans="1:7">
      <c r="A202" s="262"/>
      <c r="B202" s="254"/>
      <c r="C202" s="263"/>
      <c r="D202" s="264"/>
      <c r="E202" s="265"/>
      <c r="F202" s="266"/>
      <c r="G202" s="179"/>
    </row>
    <row r="203" spans="1:7">
      <c r="A203" s="271" t="s">
        <v>301</v>
      </c>
      <c r="B203" s="258" t="s">
        <v>463</v>
      </c>
      <c r="C203" s="263"/>
      <c r="D203" s="264"/>
      <c r="E203" s="265"/>
      <c r="F203" s="266"/>
    </row>
    <row r="204" spans="1:7" ht="26.45">
      <c r="A204" s="267"/>
      <c r="B204" s="258" t="s">
        <v>464</v>
      </c>
      <c r="C204" s="259"/>
      <c r="D204" s="268"/>
      <c r="E204" s="269" t="s">
        <v>460</v>
      </c>
      <c r="F204" s="256" t="s">
        <v>460</v>
      </c>
    </row>
    <row r="205" spans="1:7">
      <c r="A205" s="267"/>
      <c r="B205" s="261" t="s">
        <v>465</v>
      </c>
      <c r="C205" s="81" t="s">
        <v>59</v>
      </c>
      <c r="D205" s="260">
        <v>3</v>
      </c>
      <c r="E205" s="57"/>
      <c r="F205" s="53"/>
    </row>
    <row r="206" spans="1:7">
      <c r="A206" s="267"/>
      <c r="B206" s="261" t="s">
        <v>466</v>
      </c>
      <c r="C206" s="259" t="s">
        <v>210</v>
      </c>
      <c r="D206" s="260">
        <v>1</v>
      </c>
      <c r="E206" s="57" t="s">
        <v>467</v>
      </c>
      <c r="F206" s="53"/>
    </row>
    <row r="207" spans="1:7">
      <c r="A207" s="267"/>
      <c r="B207" s="261" t="s">
        <v>468</v>
      </c>
      <c r="C207" s="259" t="s">
        <v>210</v>
      </c>
      <c r="D207" s="260">
        <v>1</v>
      </c>
      <c r="E207" s="57" t="s">
        <v>467</v>
      </c>
      <c r="F207" s="53"/>
    </row>
    <row r="208" spans="1:7">
      <c r="A208" s="267"/>
      <c r="B208" s="258" t="s">
        <v>470</v>
      </c>
      <c r="C208" s="259"/>
      <c r="D208" s="260"/>
      <c r="E208" s="57" t="s">
        <v>460</v>
      </c>
      <c r="F208" s="53" t="s">
        <v>460</v>
      </c>
    </row>
    <row r="209" spans="1:6" ht="26.45">
      <c r="A209" s="267"/>
      <c r="B209" s="261" t="s">
        <v>471</v>
      </c>
      <c r="C209" s="81" t="s">
        <v>59</v>
      </c>
      <c r="D209" s="260">
        <v>14</v>
      </c>
      <c r="E209" s="57"/>
      <c r="F209" s="53"/>
    </row>
    <row r="210" spans="1:6">
      <c r="A210" s="267"/>
      <c r="B210" s="261" t="s">
        <v>472</v>
      </c>
      <c r="C210" s="81" t="s">
        <v>59</v>
      </c>
      <c r="D210" s="260">
        <v>3</v>
      </c>
      <c r="E210" s="57"/>
      <c r="F210" s="53"/>
    </row>
    <row r="211" spans="1:6">
      <c r="A211" s="267"/>
      <c r="B211" s="258" t="s">
        <v>475</v>
      </c>
      <c r="C211" s="259"/>
      <c r="D211" s="260"/>
      <c r="E211" s="57"/>
      <c r="F211" s="53"/>
    </row>
    <row r="212" spans="1:6">
      <c r="A212" s="267"/>
      <c r="B212" s="261" t="s">
        <v>476</v>
      </c>
      <c r="C212" s="259" t="s">
        <v>66</v>
      </c>
      <c r="D212" s="260">
        <v>18</v>
      </c>
      <c r="E212" s="57"/>
      <c r="F212" s="53"/>
    </row>
    <row r="213" spans="1:6">
      <c r="A213" s="267"/>
      <c r="B213" s="261" t="s">
        <v>477</v>
      </c>
      <c r="C213" s="259" t="s">
        <v>66</v>
      </c>
      <c r="D213" s="260">
        <v>90</v>
      </c>
      <c r="E213" s="57"/>
      <c r="F213" s="53"/>
    </row>
    <row r="214" spans="1:6">
      <c r="A214" s="267"/>
      <c r="B214" s="258" t="s">
        <v>478</v>
      </c>
      <c r="C214" s="259"/>
      <c r="D214" s="260"/>
      <c r="E214" s="57"/>
      <c r="F214" s="53"/>
    </row>
    <row r="215" spans="1:6">
      <c r="A215" s="267"/>
      <c r="B215" s="203" t="s">
        <v>479</v>
      </c>
      <c r="C215" s="23" t="s">
        <v>59</v>
      </c>
      <c r="D215" s="201">
        <v>45</v>
      </c>
      <c r="E215" s="20"/>
      <c r="F215" s="202"/>
    </row>
    <row r="216" spans="1:6">
      <c r="A216" s="262"/>
      <c r="B216" s="270" t="s">
        <v>480</v>
      </c>
      <c r="C216" s="263"/>
      <c r="D216" s="264"/>
      <c r="E216" s="265"/>
      <c r="F216" s="64">
        <f>SUBTOTAL(9,F205:F215)</f>
        <v>0</v>
      </c>
    </row>
    <row r="217" spans="1:6">
      <c r="A217" s="164"/>
      <c r="B217" s="165"/>
      <c r="C217" s="161"/>
      <c r="D217" s="163"/>
      <c r="E217" s="162"/>
      <c r="F217" s="123"/>
    </row>
    <row r="218" spans="1:6">
      <c r="A218" s="68"/>
      <c r="B218" s="125" t="s">
        <v>305</v>
      </c>
      <c r="C218" s="120"/>
      <c r="D218" s="174"/>
      <c r="E218" s="181"/>
      <c r="F218" s="64">
        <f>F216+F201</f>
        <v>0</v>
      </c>
    </row>
    <row r="219" spans="1:6">
      <c r="A219" s="130"/>
      <c r="B219" s="180"/>
      <c r="C219" s="120"/>
      <c r="D219" s="174"/>
      <c r="E219" s="181"/>
      <c r="F219" s="126"/>
    </row>
    <row r="220" spans="1:6">
      <c r="A220" s="86">
        <v>10.6</v>
      </c>
      <c r="B220" s="127" t="s">
        <v>306</v>
      </c>
      <c r="C220" s="104"/>
      <c r="D220" s="190"/>
      <c r="E220" s="61"/>
      <c r="F220" s="64"/>
    </row>
    <row r="221" spans="1:6" s="170" customFormat="1" ht="39.6">
      <c r="A221" s="51" t="s">
        <v>307</v>
      </c>
      <c r="B221" s="124" t="s">
        <v>481</v>
      </c>
      <c r="C221" s="81" t="s">
        <v>12</v>
      </c>
      <c r="D221" s="96">
        <v>1</v>
      </c>
      <c r="E221" s="57"/>
      <c r="F221" s="53"/>
    </row>
    <row r="222" spans="1:6" s="170" customFormat="1">
      <c r="A222" s="51" t="s">
        <v>309</v>
      </c>
      <c r="B222" s="124" t="s">
        <v>482</v>
      </c>
      <c r="C222" s="81" t="s">
        <v>59</v>
      </c>
      <c r="D222" s="96">
        <v>1</v>
      </c>
      <c r="E222" s="57"/>
      <c r="F222" s="53"/>
    </row>
    <row r="223" spans="1:6" s="170" customFormat="1">
      <c r="A223" s="51" t="s">
        <v>311</v>
      </c>
      <c r="B223" s="124" t="s">
        <v>483</v>
      </c>
      <c r="C223" s="81" t="s">
        <v>59</v>
      </c>
      <c r="D223" s="96">
        <v>1</v>
      </c>
      <c r="E223" s="57"/>
      <c r="F223" s="53"/>
    </row>
    <row r="224" spans="1:6">
      <c r="A224" s="51" t="s">
        <v>313</v>
      </c>
      <c r="B224" s="95" t="s">
        <v>308</v>
      </c>
      <c r="C224" s="81" t="s">
        <v>59</v>
      </c>
      <c r="D224" s="96">
        <v>17</v>
      </c>
      <c r="E224" s="57"/>
      <c r="F224" s="53"/>
    </row>
    <row r="225" spans="1:6">
      <c r="A225" s="51" t="s">
        <v>315</v>
      </c>
      <c r="B225" s="95" t="s">
        <v>549</v>
      </c>
      <c r="C225" s="81" t="s">
        <v>59</v>
      </c>
      <c r="D225" s="96">
        <v>21</v>
      </c>
      <c r="E225" s="57"/>
      <c r="F225" s="53"/>
    </row>
    <row r="226" spans="1:6">
      <c r="A226" s="51" t="s">
        <v>317</v>
      </c>
      <c r="B226" s="95" t="s">
        <v>484</v>
      </c>
      <c r="C226" s="81" t="s">
        <v>59</v>
      </c>
      <c r="D226" s="96">
        <v>30</v>
      </c>
      <c r="E226" s="57"/>
      <c r="F226" s="53"/>
    </row>
    <row r="227" spans="1:6" s="170" customFormat="1" ht="16.5" customHeight="1">
      <c r="A227" s="51" t="s">
        <v>319</v>
      </c>
      <c r="B227" s="95" t="s">
        <v>312</v>
      </c>
      <c r="C227" s="81" t="s">
        <v>59</v>
      </c>
      <c r="D227" s="96">
        <v>5</v>
      </c>
      <c r="E227" s="57"/>
      <c r="F227" s="53"/>
    </row>
    <row r="228" spans="1:6" s="170" customFormat="1">
      <c r="A228" s="51" t="s">
        <v>321</v>
      </c>
      <c r="B228" s="95" t="s">
        <v>314</v>
      </c>
      <c r="C228" s="81" t="s">
        <v>59</v>
      </c>
      <c r="D228" s="96">
        <v>12</v>
      </c>
      <c r="E228" s="57"/>
      <c r="F228" s="53"/>
    </row>
    <row r="229" spans="1:6" s="170" customFormat="1">
      <c r="A229" s="51" t="s">
        <v>323</v>
      </c>
      <c r="B229" s="95" t="s">
        <v>485</v>
      </c>
      <c r="C229" s="81" t="s">
        <v>59</v>
      </c>
      <c r="D229" s="96">
        <v>1</v>
      </c>
      <c r="E229" s="57"/>
      <c r="F229" s="53"/>
    </row>
    <row r="230" spans="1:6" s="170" customFormat="1">
      <c r="A230" s="51" t="s">
        <v>325</v>
      </c>
      <c r="B230" s="95" t="s">
        <v>320</v>
      </c>
      <c r="C230" s="81" t="s">
        <v>59</v>
      </c>
      <c r="D230" s="96">
        <v>11</v>
      </c>
      <c r="E230" s="57"/>
      <c r="F230" s="53"/>
    </row>
    <row r="231" spans="1:6">
      <c r="A231" s="130"/>
      <c r="B231" s="125" t="s">
        <v>329</v>
      </c>
      <c r="C231" s="13"/>
      <c r="D231" s="62"/>
      <c r="E231" s="61"/>
      <c r="F231" s="64">
        <f>SUM(F221:F230)</f>
        <v>0</v>
      </c>
    </row>
    <row r="232" spans="1:6">
      <c r="A232" s="130"/>
      <c r="B232" s="61" t="s">
        <v>330</v>
      </c>
      <c r="C232" s="13"/>
      <c r="D232" s="62"/>
      <c r="E232" s="191"/>
      <c r="F232" s="64">
        <f>SUM(F231,F218,F193,F185,F178,F171)</f>
        <v>0</v>
      </c>
    </row>
    <row r="233" spans="1:6">
      <c r="A233" s="120"/>
      <c r="B233" s="173"/>
      <c r="C233" s="35"/>
      <c r="D233" s="122"/>
      <c r="E233" s="173"/>
      <c r="F233" s="126"/>
    </row>
    <row r="234" spans="1:6" ht="15.6">
      <c r="A234" s="188"/>
      <c r="B234" s="189" t="s">
        <v>486</v>
      </c>
      <c r="C234" s="216"/>
      <c r="D234" s="217"/>
      <c r="E234" s="217"/>
      <c r="F234" s="218">
        <f>SUM(F232,F156,F139,F122,F115,F107,F63,F49,F37,F25)</f>
        <v>0</v>
      </c>
    </row>
    <row r="236" spans="1:6" ht="26.45">
      <c r="A236" s="4" t="s">
        <v>3</v>
      </c>
      <c r="B236" s="5" t="s">
        <v>4</v>
      </c>
      <c r="C236" s="5" t="s">
        <v>5</v>
      </c>
      <c r="D236" s="6" t="s">
        <v>6</v>
      </c>
      <c r="E236" s="7" t="s">
        <v>7</v>
      </c>
      <c r="F236" s="5" t="s">
        <v>8</v>
      </c>
    </row>
    <row r="237" spans="1:6" ht="25.5" customHeight="1">
      <c r="A237" s="223" t="s">
        <v>487</v>
      </c>
      <c r="B237" s="323" t="s">
        <v>488</v>
      </c>
      <c r="C237" s="324"/>
      <c r="D237" s="324"/>
      <c r="E237" s="324"/>
      <c r="F237" s="325"/>
    </row>
    <row r="238" spans="1:6">
      <c r="A238" s="223" t="s">
        <v>19</v>
      </c>
      <c r="B238" s="115" t="s">
        <v>489</v>
      </c>
      <c r="C238" s="223"/>
      <c r="D238" s="224"/>
      <c r="E238" s="225"/>
      <c r="F238" s="226"/>
    </row>
    <row r="239" spans="1:6">
      <c r="A239" s="13"/>
      <c r="B239" s="208"/>
      <c r="C239" s="13"/>
      <c r="D239" s="68"/>
      <c r="E239" s="253"/>
      <c r="F239" s="250"/>
    </row>
    <row r="240" spans="1:6">
      <c r="A240" s="152" t="s">
        <v>490</v>
      </c>
      <c r="B240" s="148" t="s">
        <v>550</v>
      </c>
      <c r="C240" s="152"/>
      <c r="D240" s="152"/>
      <c r="E240" s="227"/>
      <c r="F240" s="227"/>
    </row>
    <row r="241" spans="1:6" ht="39.6">
      <c r="A241" s="228"/>
      <c r="B241" s="229" t="s">
        <v>551</v>
      </c>
      <c r="C241" s="228" t="s">
        <v>552</v>
      </c>
      <c r="D241" s="280" t="s">
        <v>553</v>
      </c>
      <c r="E241" s="230"/>
      <c r="F241" s="231"/>
    </row>
    <row r="242" spans="1:6">
      <c r="A242" s="228"/>
      <c r="B242" s="229" t="s">
        <v>554</v>
      </c>
      <c r="C242" s="228" t="s">
        <v>552</v>
      </c>
      <c r="D242" s="280" t="s">
        <v>553</v>
      </c>
      <c r="E242" s="230"/>
      <c r="F242" s="231"/>
    </row>
    <row r="243" spans="1:6">
      <c r="A243" s="169"/>
      <c r="B243" s="205" t="s">
        <v>555</v>
      </c>
      <c r="C243" s="169" t="s">
        <v>556</v>
      </c>
      <c r="D243" s="280" t="s">
        <v>553</v>
      </c>
      <c r="E243" s="232"/>
      <c r="F243" s="231"/>
    </row>
    <row r="244" spans="1:6">
      <c r="A244" s="169"/>
      <c r="B244" s="205" t="s">
        <v>557</v>
      </c>
      <c r="C244" s="169" t="s">
        <v>556</v>
      </c>
      <c r="D244" s="280" t="s">
        <v>553</v>
      </c>
      <c r="E244" s="232"/>
      <c r="F244" s="231"/>
    </row>
    <row r="245" spans="1:6">
      <c r="A245" s="152"/>
      <c r="B245" s="148" t="s">
        <v>558</v>
      </c>
      <c r="C245" s="152"/>
      <c r="D245" s="280" t="s">
        <v>553</v>
      </c>
      <c r="E245" s="233"/>
      <c r="F245" s="231"/>
    </row>
    <row r="246" spans="1:6" ht="26.45">
      <c r="A246" s="169"/>
      <c r="B246" s="205" t="s">
        <v>559</v>
      </c>
      <c r="C246" s="169" t="s">
        <v>59</v>
      </c>
      <c r="D246" s="280" t="s">
        <v>553</v>
      </c>
      <c r="E246" s="232"/>
      <c r="F246" s="231"/>
    </row>
    <row r="247" spans="1:6" ht="26.45">
      <c r="A247" s="169"/>
      <c r="B247" s="205" t="s">
        <v>560</v>
      </c>
      <c r="C247" s="169" t="s">
        <v>12</v>
      </c>
      <c r="D247" s="280" t="s">
        <v>553</v>
      </c>
      <c r="E247" s="232"/>
      <c r="F247" s="231"/>
    </row>
    <row r="248" spans="1:6">
      <c r="A248" s="152"/>
      <c r="B248" s="148" t="s">
        <v>561</v>
      </c>
      <c r="C248" s="152"/>
      <c r="D248" s="104"/>
      <c r="E248" s="227"/>
      <c r="F248" s="235"/>
    </row>
    <row r="249" spans="1:6" ht="66">
      <c r="A249" s="169"/>
      <c r="B249" s="38" t="s">
        <v>562</v>
      </c>
      <c r="C249" s="41"/>
      <c r="D249" s="41"/>
      <c r="E249" s="236"/>
      <c r="F249" s="38"/>
    </row>
    <row r="250" spans="1:6">
      <c r="A250" s="169"/>
      <c r="B250" s="38" t="s">
        <v>497</v>
      </c>
      <c r="C250" s="41" t="s">
        <v>66</v>
      </c>
      <c r="D250" s="280" t="s">
        <v>553</v>
      </c>
      <c r="E250" s="237"/>
      <c r="F250" s="231"/>
    </row>
    <row r="251" spans="1:6">
      <c r="A251" s="169"/>
      <c r="B251" s="125" t="s">
        <v>563</v>
      </c>
      <c r="C251" s="169"/>
      <c r="D251" s="169"/>
      <c r="E251" s="232"/>
      <c r="F251" s="233"/>
    </row>
    <row r="252" spans="1:6">
      <c r="A252" s="152" t="s">
        <v>501</v>
      </c>
      <c r="B252" s="148" t="s">
        <v>564</v>
      </c>
      <c r="C252" s="152"/>
      <c r="D252" s="104"/>
      <c r="E252" s="233"/>
      <c r="F252" s="234"/>
    </row>
    <row r="253" spans="1:6" ht="52.9">
      <c r="A253" s="169"/>
      <c r="B253" s="38" t="s">
        <v>565</v>
      </c>
      <c r="C253" s="41" t="s">
        <v>59</v>
      </c>
      <c r="D253" s="280" t="s">
        <v>553</v>
      </c>
      <c r="E253" s="237"/>
      <c r="F253" s="238"/>
    </row>
    <row r="254" spans="1:6">
      <c r="A254" s="169"/>
      <c r="B254" s="205"/>
      <c r="C254" s="169"/>
      <c r="D254" s="169"/>
      <c r="E254" s="232"/>
      <c r="F254" s="232"/>
    </row>
    <row r="255" spans="1:6">
      <c r="A255" s="169"/>
      <c r="B255" s="125" t="s">
        <v>566</v>
      </c>
      <c r="C255" s="169"/>
      <c r="D255" s="169"/>
      <c r="E255" s="232"/>
      <c r="F255" s="233"/>
    </row>
    <row r="256" spans="1:6">
      <c r="A256" s="169"/>
      <c r="B256" s="125"/>
      <c r="C256" s="169"/>
      <c r="D256" s="169"/>
      <c r="E256" s="232"/>
      <c r="F256" s="227"/>
    </row>
    <row r="257" spans="1:6">
      <c r="A257" s="152" t="s">
        <v>567</v>
      </c>
      <c r="B257" s="127" t="s">
        <v>568</v>
      </c>
      <c r="C257" s="104"/>
      <c r="D257" s="104"/>
      <c r="E257" s="207"/>
      <c r="F257" s="59"/>
    </row>
    <row r="258" spans="1:6" ht="66" hidden="1">
      <c r="A258" s="41"/>
      <c r="B258" s="38" t="s">
        <v>492</v>
      </c>
      <c r="C258" s="41"/>
      <c r="D258" s="41"/>
      <c r="E258" s="237"/>
      <c r="F258" s="38"/>
    </row>
    <row r="259" spans="1:6" hidden="1">
      <c r="A259" s="41"/>
      <c r="B259" s="38" t="s">
        <v>493</v>
      </c>
      <c r="C259" s="41" t="s">
        <v>66</v>
      </c>
      <c r="D259" s="41"/>
      <c r="E259" s="237"/>
      <c r="F259" s="231"/>
    </row>
    <row r="260" spans="1:6" hidden="1">
      <c r="A260" s="41"/>
      <c r="B260" s="38" t="s">
        <v>494</v>
      </c>
      <c r="C260" s="41" t="s">
        <v>66</v>
      </c>
      <c r="D260" s="41"/>
      <c r="E260" s="237"/>
      <c r="F260" s="231"/>
    </row>
    <row r="261" spans="1:6" hidden="1">
      <c r="A261" s="41"/>
      <c r="B261" s="38" t="s">
        <v>495</v>
      </c>
      <c r="C261" s="41" t="s">
        <v>66</v>
      </c>
      <c r="D261" s="41"/>
      <c r="E261" s="237"/>
      <c r="F261" s="231"/>
    </row>
    <row r="262" spans="1:6" ht="39.6" hidden="1">
      <c r="A262" s="41"/>
      <c r="B262" s="38" t="s">
        <v>569</v>
      </c>
      <c r="C262" s="41" t="s">
        <v>59</v>
      </c>
      <c r="D262" s="41"/>
      <c r="E262" s="237"/>
      <c r="F262" s="231"/>
    </row>
    <row r="263" spans="1:6" ht="26.45" hidden="1">
      <c r="A263" s="104"/>
      <c r="B263" s="38" t="s">
        <v>498</v>
      </c>
      <c r="C263" s="41" t="s">
        <v>66</v>
      </c>
      <c r="D263" s="239"/>
      <c r="E263" s="237"/>
      <c r="F263" s="231"/>
    </row>
    <row r="264" spans="1:6" hidden="1">
      <c r="A264" s="41"/>
      <c r="B264" s="125" t="s">
        <v>570</v>
      </c>
      <c r="C264" s="41"/>
      <c r="D264" s="41"/>
      <c r="E264" s="236"/>
      <c r="F264" s="240">
        <f>SUM(F259:F263)</f>
        <v>0</v>
      </c>
    </row>
    <row r="265" spans="1:6">
      <c r="A265" s="104"/>
      <c r="B265" s="38"/>
      <c r="C265" s="41"/>
      <c r="D265" s="239"/>
      <c r="E265" s="241"/>
      <c r="F265" s="242"/>
    </row>
    <row r="266" spans="1:6">
      <c r="A266" s="152" t="s">
        <v>571</v>
      </c>
      <c r="B266" s="127" t="s">
        <v>491</v>
      </c>
      <c r="C266" s="104"/>
      <c r="D266" s="104"/>
      <c r="E266" s="243"/>
      <c r="F266" s="59"/>
    </row>
    <row r="267" spans="1:6" ht="66">
      <c r="A267" s="41"/>
      <c r="B267" s="38" t="s">
        <v>492</v>
      </c>
      <c r="C267" s="41"/>
      <c r="D267" s="41"/>
      <c r="E267" s="236"/>
      <c r="F267" s="38"/>
    </row>
    <row r="268" spans="1:6">
      <c r="A268" s="41"/>
      <c r="B268" s="38" t="s">
        <v>493</v>
      </c>
      <c r="C268" s="41" t="s">
        <v>66</v>
      </c>
      <c r="D268" s="41">
        <v>45</v>
      </c>
      <c r="E268" s="237"/>
      <c r="F268" s="231"/>
    </row>
    <row r="269" spans="1:6">
      <c r="A269" s="41"/>
      <c r="B269" s="38" t="s">
        <v>494</v>
      </c>
      <c r="C269" s="41" t="s">
        <v>66</v>
      </c>
      <c r="D269" s="41">
        <v>135</v>
      </c>
      <c r="E269" s="237"/>
      <c r="F269" s="231"/>
    </row>
    <row r="270" spans="1:6">
      <c r="A270" s="41"/>
      <c r="B270" s="38" t="s">
        <v>495</v>
      </c>
      <c r="C270" s="41" t="s">
        <v>66</v>
      </c>
      <c r="D270" s="41">
        <v>70</v>
      </c>
      <c r="E270" s="237"/>
      <c r="F270" s="231"/>
    </row>
    <row r="271" spans="1:6">
      <c r="A271" s="41"/>
      <c r="B271" s="38" t="s">
        <v>496</v>
      </c>
      <c r="C271" s="41" t="s">
        <v>66</v>
      </c>
      <c r="D271" s="41">
        <v>60</v>
      </c>
      <c r="E271" s="237"/>
      <c r="F271" s="231"/>
    </row>
    <row r="272" spans="1:6">
      <c r="A272" s="41"/>
      <c r="B272" s="38" t="s">
        <v>497</v>
      </c>
      <c r="C272" s="41" t="s">
        <v>66</v>
      </c>
      <c r="D272" s="41">
        <v>50</v>
      </c>
      <c r="E272" s="237"/>
      <c r="F272" s="231"/>
    </row>
    <row r="273" spans="1:6" ht="26.45">
      <c r="A273" s="104"/>
      <c r="B273" s="38" t="s">
        <v>498</v>
      </c>
      <c r="C273" s="41" t="s">
        <v>66</v>
      </c>
      <c r="D273" s="239">
        <v>400</v>
      </c>
      <c r="E273" s="237"/>
      <c r="F273" s="231"/>
    </row>
    <row r="274" spans="1:6">
      <c r="A274" s="104"/>
      <c r="B274" s="38" t="s">
        <v>499</v>
      </c>
      <c r="C274" s="41" t="s">
        <v>59</v>
      </c>
      <c r="D274" s="239">
        <v>4</v>
      </c>
      <c r="E274" s="237"/>
      <c r="F274" s="231"/>
    </row>
    <row r="275" spans="1:6">
      <c r="A275" s="41"/>
      <c r="B275" s="125" t="s">
        <v>500</v>
      </c>
      <c r="C275" s="41"/>
      <c r="D275" s="41"/>
      <c r="E275" s="236"/>
      <c r="F275" s="240">
        <f>SUM(F268:F274)</f>
        <v>0</v>
      </c>
    </row>
    <row r="276" spans="1:6">
      <c r="A276" s="41"/>
      <c r="B276" s="244"/>
      <c r="C276" s="13"/>
      <c r="D276" s="13"/>
      <c r="E276" s="236"/>
      <c r="F276" s="242"/>
    </row>
    <row r="277" spans="1:6">
      <c r="A277" s="152" t="s">
        <v>572</v>
      </c>
      <c r="B277" s="59" t="s">
        <v>502</v>
      </c>
      <c r="C277" s="104"/>
      <c r="D277" s="104"/>
      <c r="E277" s="236"/>
      <c r="F277" s="242"/>
    </row>
    <row r="278" spans="1:6" ht="66">
      <c r="A278" s="38"/>
      <c r="B278" s="59" t="s">
        <v>503</v>
      </c>
      <c r="C278" s="41"/>
      <c r="D278" s="41"/>
      <c r="E278" s="236"/>
      <c r="F278" s="242"/>
    </row>
    <row r="279" spans="1:6">
      <c r="A279" s="38"/>
      <c r="B279" s="38" t="s">
        <v>504</v>
      </c>
      <c r="C279" s="41" t="s">
        <v>66</v>
      </c>
      <c r="D279" s="41">
        <v>50</v>
      </c>
      <c r="E279" s="237"/>
      <c r="F279" s="231"/>
    </row>
    <row r="280" spans="1:6">
      <c r="A280" s="38"/>
      <c r="B280" s="38" t="s">
        <v>194</v>
      </c>
      <c r="C280" s="41" t="s">
        <v>66</v>
      </c>
      <c r="D280" s="41">
        <v>150</v>
      </c>
      <c r="E280" s="237"/>
      <c r="F280" s="231"/>
    </row>
    <row r="281" spans="1:6">
      <c r="A281" s="38"/>
      <c r="B281" s="38" t="s">
        <v>196</v>
      </c>
      <c r="C281" s="41" t="s">
        <v>66</v>
      </c>
      <c r="D281" s="41">
        <v>250</v>
      </c>
      <c r="E281" s="237"/>
      <c r="F281" s="231"/>
    </row>
    <row r="282" spans="1:6" ht="26.45">
      <c r="A282" s="38"/>
      <c r="B282" s="38" t="s">
        <v>505</v>
      </c>
      <c r="C282" s="41" t="s">
        <v>59</v>
      </c>
      <c r="D282" s="41">
        <v>14</v>
      </c>
      <c r="E282" s="237"/>
      <c r="F282" s="231"/>
    </row>
    <row r="283" spans="1:6" ht="26.45">
      <c r="A283" s="104"/>
      <c r="B283" s="38" t="s">
        <v>498</v>
      </c>
      <c r="C283" s="41" t="s">
        <v>66</v>
      </c>
      <c r="D283" s="71">
        <f>SUM(D279:D282)</f>
        <v>464</v>
      </c>
      <c r="E283" s="237"/>
      <c r="F283" s="231"/>
    </row>
    <row r="284" spans="1:6" ht="26.45">
      <c r="A284" s="205"/>
      <c r="B284" s="205" t="s">
        <v>506</v>
      </c>
      <c r="C284" s="169" t="s">
        <v>59</v>
      </c>
      <c r="D284" s="169">
        <v>3</v>
      </c>
      <c r="E284" s="237"/>
      <c r="F284" s="245"/>
    </row>
    <row r="285" spans="1:6">
      <c r="A285" s="38"/>
      <c r="B285" s="125" t="s">
        <v>507</v>
      </c>
      <c r="C285" s="41"/>
      <c r="D285" s="41"/>
      <c r="E285" s="236"/>
      <c r="F285" s="246">
        <f>SUM(F279:F284)</f>
        <v>0</v>
      </c>
    </row>
    <row r="286" spans="1:6">
      <c r="A286" s="38"/>
      <c r="B286" s="247"/>
      <c r="C286" s="41"/>
      <c r="D286" s="41"/>
      <c r="E286" s="236"/>
      <c r="F286" s="246"/>
    </row>
    <row r="287" spans="1:6">
      <c r="A287" s="152"/>
      <c r="B287" s="59" t="s">
        <v>508</v>
      </c>
      <c r="C287" s="104"/>
      <c r="D287" s="104"/>
      <c r="E287" s="236"/>
      <c r="F287" s="248"/>
    </row>
    <row r="288" spans="1:6">
      <c r="A288" s="249"/>
      <c r="B288" s="205" t="s">
        <v>509</v>
      </c>
      <c r="C288" s="169" t="s">
        <v>59</v>
      </c>
      <c r="D288" s="169">
        <v>6</v>
      </c>
      <c r="E288" s="237"/>
      <c r="F288" s="245"/>
    </row>
    <row r="289" spans="1:6" ht="39.6">
      <c r="A289" s="249"/>
      <c r="B289" s="205" t="s">
        <v>510</v>
      </c>
      <c r="C289" s="169" t="s">
        <v>66</v>
      </c>
      <c r="D289" s="169">
        <v>130</v>
      </c>
      <c r="E289" s="237"/>
      <c r="F289" s="245"/>
    </row>
    <row r="290" spans="1:6">
      <c r="A290" s="38"/>
      <c r="B290" s="125" t="s">
        <v>511</v>
      </c>
      <c r="C290" s="41"/>
      <c r="D290" s="41"/>
      <c r="E290" s="236"/>
      <c r="F290" s="246">
        <f>+SUM(F288:F289)</f>
        <v>0</v>
      </c>
    </row>
    <row r="291" spans="1:6">
      <c r="A291" s="38"/>
      <c r="B291" s="247"/>
      <c r="C291" s="41"/>
      <c r="D291" s="41"/>
      <c r="E291" s="236"/>
      <c r="F291" s="250"/>
    </row>
    <row r="292" spans="1:6">
      <c r="A292" s="152" t="s">
        <v>37</v>
      </c>
      <c r="B292" s="59" t="s">
        <v>332</v>
      </c>
      <c r="C292" s="104"/>
      <c r="D292" s="104"/>
      <c r="E292" s="236"/>
      <c r="F292" s="242"/>
    </row>
    <row r="293" spans="1:6" ht="26.45">
      <c r="A293" s="38"/>
      <c r="B293" s="38" t="s">
        <v>512</v>
      </c>
      <c r="C293" s="41" t="s">
        <v>17</v>
      </c>
      <c r="D293" s="108">
        <f>237.28*1.05</f>
        <v>249.14400000000001</v>
      </c>
      <c r="E293" s="251"/>
      <c r="F293" s="206"/>
    </row>
    <row r="294" spans="1:6" ht="26.45">
      <c r="A294" s="38"/>
      <c r="B294" s="38" t="s">
        <v>513</v>
      </c>
      <c r="C294" s="41" t="s">
        <v>514</v>
      </c>
      <c r="D294" s="108">
        <v>100</v>
      </c>
      <c r="E294" s="251"/>
      <c r="F294" s="206"/>
    </row>
    <row r="295" spans="1:6">
      <c r="A295" s="38"/>
      <c r="B295" s="38" t="s">
        <v>515</v>
      </c>
      <c r="C295" s="41" t="s">
        <v>17</v>
      </c>
      <c r="D295" s="108">
        <v>35.6</v>
      </c>
      <c r="E295" s="251"/>
      <c r="F295" s="206"/>
    </row>
    <row r="296" spans="1:6">
      <c r="A296" s="38"/>
      <c r="B296" s="38" t="s">
        <v>516</v>
      </c>
      <c r="C296" s="41" t="s">
        <v>66</v>
      </c>
      <c r="D296" s="108">
        <f>23.65+17</f>
        <v>40.65</v>
      </c>
      <c r="E296" s="251"/>
      <c r="F296" s="206"/>
    </row>
    <row r="297" spans="1:6">
      <c r="A297" s="38"/>
      <c r="B297" s="125" t="s">
        <v>517</v>
      </c>
      <c r="C297" s="41"/>
      <c r="D297" s="108"/>
      <c r="E297" s="236"/>
      <c r="F297" s="252">
        <f>SUM(F293:F296)</f>
        <v>0</v>
      </c>
    </row>
    <row r="298" spans="1:6" ht="15.6">
      <c r="A298" s="26"/>
      <c r="B298" s="101" t="s">
        <v>518</v>
      </c>
      <c r="C298" s="273"/>
      <c r="D298" s="274"/>
      <c r="E298" s="275"/>
      <c r="F298" s="102">
        <f>F297+F290+F285+F275+F264+F255+F251</f>
        <v>0</v>
      </c>
    </row>
    <row r="299" spans="1:6" ht="26.45">
      <c r="A299" s="26"/>
      <c r="B299" s="101" t="s">
        <v>573</v>
      </c>
      <c r="C299" s="273"/>
      <c r="D299" s="274"/>
      <c r="E299" s="275"/>
      <c r="F299" s="102">
        <f>F298+F234</f>
        <v>0</v>
      </c>
    </row>
  </sheetData>
  <mergeCells count="17">
    <mergeCell ref="A116:F116"/>
    <mergeCell ref="A123:F123"/>
    <mergeCell ref="A140:F140"/>
    <mergeCell ref="B237:F237"/>
    <mergeCell ref="G45:H45"/>
    <mergeCell ref="G46:H46"/>
    <mergeCell ref="A50:F50"/>
    <mergeCell ref="G51:H51"/>
    <mergeCell ref="A108:F108"/>
    <mergeCell ref="A64:F64"/>
    <mergeCell ref="A26:F26"/>
    <mergeCell ref="A38:F38"/>
    <mergeCell ref="A1:F1"/>
    <mergeCell ref="A2:F2"/>
    <mergeCell ref="A3:F3"/>
    <mergeCell ref="B6:F6"/>
    <mergeCell ref="A8:F8"/>
  </mergeCells>
  <phoneticPr fontId="19" type="noConversion"/>
  <pageMargins left="0.70866141732283472" right="0.70866141732283472" top="0.74803149606299213" bottom="0.74803149606299213" header="0.31496062992125984" footer="0.31496062992125984"/>
  <pageSetup paperSize="9" scale="6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CB666-3E8D-487D-89AC-EF088B6873B7}">
  <sheetPr>
    <tabColor theme="9"/>
    <pageSetUpPr fitToPage="1"/>
  </sheetPr>
  <dimension ref="A1:AC300"/>
  <sheetViews>
    <sheetView view="pageBreakPreview" topLeftCell="A53" zoomScale="130" zoomScaleNormal="130" zoomScaleSheetLayoutView="130" workbookViewId="0">
      <selection activeCell="A73" sqref="A73:XFD73"/>
    </sheetView>
  </sheetViews>
  <sheetFormatPr defaultColWidth="11.42578125" defaultRowHeight="14.45"/>
  <cols>
    <col min="1" max="1" width="7.7109375" customWidth="1"/>
    <col min="2" max="2" width="45.7109375" customWidth="1"/>
    <col min="3" max="3" width="8.7109375" customWidth="1"/>
    <col min="4" max="4" width="10.7109375" customWidth="1"/>
    <col min="5" max="5" width="11.7109375" customWidth="1"/>
    <col min="6" max="6" width="12.7109375" customWidth="1"/>
  </cols>
  <sheetData>
    <row r="1" spans="1:6" ht="81" customHeight="1">
      <c r="A1" s="322" t="s">
        <v>574</v>
      </c>
      <c r="B1" s="322"/>
      <c r="C1" s="322"/>
      <c r="D1" s="322"/>
      <c r="E1" s="322"/>
      <c r="F1" s="322"/>
    </row>
    <row r="2" spans="1:6" ht="20.100000000000001" customHeight="1">
      <c r="A2" s="302" t="s">
        <v>1</v>
      </c>
      <c r="B2" s="302"/>
      <c r="C2" s="302"/>
      <c r="D2" s="302"/>
      <c r="E2" s="302"/>
      <c r="F2" s="302"/>
    </row>
    <row r="3" spans="1:6" ht="20.100000000000001" customHeight="1">
      <c r="A3" s="303" t="s">
        <v>575</v>
      </c>
      <c r="B3" s="303"/>
      <c r="C3" s="303"/>
      <c r="D3" s="303"/>
      <c r="E3" s="303"/>
      <c r="F3" s="303"/>
    </row>
    <row r="4" spans="1:6" ht="15" customHeight="1">
      <c r="A4" s="1"/>
      <c r="B4" s="1"/>
      <c r="C4" s="2"/>
      <c r="D4" s="2"/>
      <c r="E4" s="3"/>
      <c r="F4" s="2"/>
    </row>
    <row r="5" spans="1:6" ht="26.45">
      <c r="A5" s="4" t="s">
        <v>3</v>
      </c>
      <c r="B5" s="5" t="s">
        <v>4</v>
      </c>
      <c r="C5" s="5" t="s">
        <v>5</v>
      </c>
      <c r="D5" s="6" t="s">
        <v>6</v>
      </c>
      <c r="E5" s="7" t="s">
        <v>7</v>
      </c>
      <c r="F5" s="5" t="s">
        <v>8</v>
      </c>
    </row>
    <row r="6" spans="1:6">
      <c r="A6" s="272" t="s">
        <v>522</v>
      </c>
      <c r="B6" s="323" t="s">
        <v>9</v>
      </c>
      <c r="C6" s="324"/>
      <c r="D6" s="324"/>
      <c r="E6" s="324"/>
      <c r="F6" s="325"/>
    </row>
    <row r="7" spans="1:6" ht="15.6">
      <c r="A7" s="29"/>
      <c r="B7" s="30"/>
      <c r="C7" s="29"/>
      <c r="D7" s="31"/>
      <c r="E7" s="32"/>
      <c r="F7" s="33"/>
    </row>
    <row r="8" spans="1:6">
      <c r="A8" s="103">
        <v>0</v>
      </c>
      <c r="B8" s="59" t="s">
        <v>10</v>
      </c>
      <c r="C8" s="104"/>
      <c r="D8" s="105"/>
      <c r="E8" s="76"/>
      <c r="F8" s="106"/>
    </row>
    <row r="9" spans="1:6" ht="66">
      <c r="A9" s="36">
        <v>0.1</v>
      </c>
      <c r="B9" s="38" t="s">
        <v>11</v>
      </c>
      <c r="C9" s="41" t="s">
        <v>12</v>
      </c>
      <c r="D9" s="108">
        <v>1</v>
      </c>
      <c r="E9" s="17"/>
      <c r="F9" s="109"/>
    </row>
    <row r="10" spans="1:6" ht="52.9">
      <c r="A10" s="36">
        <v>0.2</v>
      </c>
      <c r="B10" s="38" t="s">
        <v>13</v>
      </c>
      <c r="C10" s="41" t="s">
        <v>12</v>
      </c>
      <c r="D10" s="108">
        <v>1</v>
      </c>
      <c r="E10" s="17"/>
      <c r="F10" s="109"/>
    </row>
    <row r="11" spans="1:6">
      <c r="A11" s="36">
        <v>0.3</v>
      </c>
      <c r="B11" s="38" t="s">
        <v>14</v>
      </c>
      <c r="C11" s="41" t="s">
        <v>12</v>
      </c>
      <c r="D11" s="108">
        <v>1</v>
      </c>
      <c r="E11" s="17"/>
      <c r="F11" s="109"/>
    </row>
    <row r="12" spans="1:6">
      <c r="A12" s="36">
        <v>0.4</v>
      </c>
      <c r="B12" s="38" t="s">
        <v>576</v>
      </c>
      <c r="C12" s="41" t="s">
        <v>17</v>
      </c>
      <c r="D12" s="110">
        <v>1023</v>
      </c>
      <c r="E12" s="17"/>
      <c r="F12" s="109"/>
    </row>
    <row r="13" spans="1:6">
      <c r="A13" s="36">
        <v>0.5</v>
      </c>
      <c r="B13" s="38" t="s">
        <v>15</v>
      </c>
      <c r="C13" s="41" t="s">
        <v>12</v>
      </c>
      <c r="D13" s="110">
        <v>1</v>
      </c>
      <c r="E13" s="17"/>
      <c r="F13" s="109"/>
    </row>
    <row r="14" spans="1:6">
      <c r="A14" s="36">
        <v>0.6</v>
      </c>
      <c r="B14" s="38" t="s">
        <v>577</v>
      </c>
      <c r="C14" s="41" t="s">
        <v>12</v>
      </c>
      <c r="D14" s="110">
        <v>1</v>
      </c>
      <c r="E14" s="17"/>
      <c r="F14" s="109"/>
    </row>
    <row r="15" spans="1:6">
      <c r="A15" s="111"/>
      <c r="B15" s="18" t="s">
        <v>18</v>
      </c>
      <c r="C15" s="111"/>
      <c r="D15" s="112"/>
      <c r="E15" s="113"/>
      <c r="F15" s="40">
        <f>SUM(F9:F14)</f>
        <v>0</v>
      </c>
    </row>
    <row r="16" spans="1:6" ht="15.6">
      <c r="A16" s="304"/>
      <c r="B16" s="305"/>
      <c r="C16" s="305"/>
      <c r="D16" s="305"/>
      <c r="E16" s="305"/>
      <c r="F16" s="306"/>
    </row>
    <row r="17" spans="1:6">
      <c r="A17" s="147" t="s">
        <v>19</v>
      </c>
      <c r="B17" s="148" t="s">
        <v>20</v>
      </c>
      <c r="C17" s="13"/>
      <c r="D17" s="14"/>
      <c r="E17" s="149"/>
      <c r="F17" s="150"/>
    </row>
    <row r="18" spans="1:6" ht="15">
      <c r="A18" s="15">
        <v>1.1000000000000001</v>
      </c>
      <c r="B18" s="151" t="s">
        <v>21</v>
      </c>
      <c r="C18" s="15" t="s">
        <v>22</v>
      </c>
      <c r="D18" s="16">
        <f>20*1*1*1.2</f>
        <v>24</v>
      </c>
      <c r="E18" s="17"/>
      <c r="F18" s="150"/>
    </row>
    <row r="19" spans="1:6" ht="15">
      <c r="A19" s="15">
        <v>1.2</v>
      </c>
      <c r="B19" s="151" t="s">
        <v>23</v>
      </c>
      <c r="C19" s="15" t="s">
        <v>22</v>
      </c>
      <c r="D19" s="16">
        <f>130*0.4*0.6</f>
        <v>31.2</v>
      </c>
      <c r="E19" s="17"/>
      <c r="F19" s="150"/>
    </row>
    <row r="20" spans="1:6" ht="26.45">
      <c r="A20" s="15">
        <v>1.3</v>
      </c>
      <c r="B20" s="151" t="s">
        <v>25</v>
      </c>
      <c r="C20" s="15" t="s">
        <v>22</v>
      </c>
      <c r="D20" s="16">
        <f>115*0.35</f>
        <v>40.25</v>
      </c>
      <c r="E20" s="17"/>
      <c r="F20" s="150"/>
    </row>
    <row r="21" spans="1:6" ht="15">
      <c r="A21" s="15">
        <v>1.4</v>
      </c>
      <c r="B21" s="151" t="s">
        <v>24</v>
      </c>
      <c r="C21" s="15" t="s">
        <v>22</v>
      </c>
      <c r="D21" s="16">
        <f>D18+D19-D24-D25</f>
        <v>47.6</v>
      </c>
      <c r="E21" s="17"/>
      <c r="F21" s="150"/>
    </row>
    <row r="22" spans="1:6" ht="26.45">
      <c r="A22" s="15">
        <v>1.5</v>
      </c>
      <c r="B22" s="151" t="s">
        <v>369</v>
      </c>
      <c r="C22" s="15" t="s">
        <v>22</v>
      </c>
      <c r="D22" s="16">
        <f>130*0.4*0.05</f>
        <v>2.6</v>
      </c>
      <c r="E22" s="17"/>
      <c r="F22" s="150"/>
    </row>
    <row r="23" spans="1:6" ht="26.45">
      <c r="A23" s="15">
        <v>1.6</v>
      </c>
      <c r="B23" s="151" t="s">
        <v>370</v>
      </c>
      <c r="C23" s="15" t="s">
        <v>22</v>
      </c>
      <c r="D23" s="16">
        <f>20*1*1*0.05</f>
        <v>1</v>
      </c>
      <c r="E23" s="17"/>
      <c r="F23" s="150"/>
    </row>
    <row r="24" spans="1:6" ht="26.45">
      <c r="A24" s="15">
        <v>1.7</v>
      </c>
      <c r="B24" s="151" t="s">
        <v>27</v>
      </c>
      <c r="C24" s="15" t="s">
        <v>22</v>
      </c>
      <c r="D24" s="16">
        <f>20*1*1*0.3</f>
        <v>6</v>
      </c>
      <c r="E24" s="17"/>
      <c r="F24" s="150"/>
    </row>
    <row r="25" spans="1:6" ht="26.45">
      <c r="A25" s="15">
        <v>1.8</v>
      </c>
      <c r="B25" s="151" t="s">
        <v>30</v>
      </c>
      <c r="C25" s="15" t="s">
        <v>22</v>
      </c>
      <c r="D25" s="16">
        <f>20*0.4*0.2</f>
        <v>1.6</v>
      </c>
      <c r="E25" s="156"/>
      <c r="F25" s="150"/>
    </row>
    <row r="26" spans="1:6" ht="39.6">
      <c r="A26" s="15">
        <v>1.9</v>
      </c>
      <c r="B26" s="151" t="s">
        <v>371</v>
      </c>
      <c r="C26" s="15" t="s">
        <v>22</v>
      </c>
      <c r="D26" s="16">
        <f>20*0.25*0.25*1.2</f>
        <v>1.5</v>
      </c>
      <c r="E26" s="17"/>
      <c r="F26" s="150"/>
    </row>
    <row r="27" spans="1:6" ht="26.45">
      <c r="A27" s="15">
        <v>1.1000000000000001</v>
      </c>
      <c r="B27" s="151" t="s">
        <v>31</v>
      </c>
      <c r="C27" s="15" t="s">
        <v>17</v>
      </c>
      <c r="D27" s="16">
        <f>130*0.4</f>
        <v>52</v>
      </c>
      <c r="E27" s="17"/>
      <c r="F27" s="150"/>
    </row>
    <row r="28" spans="1:6" ht="26.45">
      <c r="A28" s="15">
        <v>1.1100000000000001</v>
      </c>
      <c r="B28" s="151" t="s">
        <v>32</v>
      </c>
      <c r="C28" s="15" t="s">
        <v>22</v>
      </c>
      <c r="D28" s="16">
        <f>20*0.2*0.4</f>
        <v>1.6</v>
      </c>
      <c r="E28" s="17"/>
      <c r="F28" s="150"/>
    </row>
    <row r="29" spans="1:6" ht="26.45">
      <c r="A29" s="15">
        <v>1.1200000000000001</v>
      </c>
      <c r="B29" s="151" t="s">
        <v>372</v>
      </c>
      <c r="C29" s="15" t="s">
        <v>22</v>
      </c>
      <c r="D29" s="16">
        <f>15*0.2*0.2</f>
        <v>0.60000000000000009</v>
      </c>
      <c r="E29" s="17"/>
      <c r="F29" s="150"/>
    </row>
    <row r="30" spans="1:6" ht="52.9">
      <c r="A30" s="15">
        <v>1.1299999999999999</v>
      </c>
      <c r="B30" s="151" t="s">
        <v>578</v>
      </c>
      <c r="C30" s="15" t="s">
        <v>22</v>
      </c>
      <c r="D30" s="16">
        <f>115*0.12</f>
        <v>13.799999999999999</v>
      </c>
      <c r="E30" s="17"/>
      <c r="F30" s="150"/>
    </row>
    <row r="31" spans="1:6" ht="39.6">
      <c r="A31" s="15">
        <v>1.1399999999999999</v>
      </c>
      <c r="B31" s="151" t="s">
        <v>34</v>
      </c>
      <c r="C31" s="15" t="s">
        <v>22</v>
      </c>
      <c r="D31" s="16">
        <v>2.38</v>
      </c>
      <c r="E31" s="17"/>
      <c r="F31" s="150"/>
    </row>
    <row r="32" spans="1:6" ht="39.6">
      <c r="A32" s="15">
        <v>1.1499999999999999</v>
      </c>
      <c r="B32" s="151" t="s">
        <v>35</v>
      </c>
      <c r="C32" s="15" t="s">
        <v>17</v>
      </c>
      <c r="D32" s="16">
        <f>115*1.1</f>
        <v>126.50000000000001</v>
      </c>
      <c r="E32" s="17"/>
      <c r="F32" s="150"/>
    </row>
    <row r="33" spans="1:6">
      <c r="A33" s="15"/>
      <c r="B33" s="18" t="s">
        <v>36</v>
      </c>
      <c r="C33" s="15"/>
      <c r="D33" s="19"/>
      <c r="E33" s="17"/>
      <c r="F33" s="107">
        <f>SUM(F18:F32)</f>
        <v>0</v>
      </c>
    </row>
    <row r="34" spans="1:6" ht="15.6">
      <c r="A34" s="307"/>
      <c r="B34" s="308"/>
      <c r="C34" s="308"/>
      <c r="D34" s="308"/>
      <c r="E34" s="308"/>
      <c r="F34" s="309"/>
    </row>
    <row r="35" spans="1:6">
      <c r="A35" s="147" t="s">
        <v>37</v>
      </c>
      <c r="B35" s="148" t="s">
        <v>38</v>
      </c>
      <c r="C35" s="152"/>
      <c r="D35" s="153"/>
      <c r="E35" s="17"/>
      <c r="F35" s="154"/>
    </row>
    <row r="36" spans="1:6" ht="39.6">
      <c r="A36" s="41">
        <v>2.1</v>
      </c>
      <c r="B36" s="151" t="s">
        <v>39</v>
      </c>
      <c r="C36" s="15" t="s">
        <v>22</v>
      </c>
      <c r="D36" s="155">
        <f>20*0.25*0.25*4</f>
        <v>5</v>
      </c>
      <c r="E36" s="156"/>
      <c r="F36" s="150"/>
    </row>
    <row r="37" spans="1:6" ht="26.45">
      <c r="A37" s="41">
        <v>2.2000000000000002</v>
      </c>
      <c r="B37" s="151" t="s">
        <v>40</v>
      </c>
      <c r="C37" s="15" t="s">
        <v>22</v>
      </c>
      <c r="D37" s="155">
        <f>30*0.2*0.1</f>
        <v>0.60000000000000009</v>
      </c>
      <c r="E37" s="156"/>
      <c r="F37" s="150"/>
    </row>
    <row r="38" spans="1:6" ht="39.6">
      <c r="A38" s="41">
        <v>2.2999999999999998</v>
      </c>
      <c r="B38" s="151" t="s">
        <v>41</v>
      </c>
      <c r="C38" s="15" t="s">
        <v>22</v>
      </c>
      <c r="D38" s="155">
        <f>130*0.2*0.15</f>
        <v>3.9</v>
      </c>
      <c r="E38" s="156"/>
      <c r="F38" s="150"/>
    </row>
    <row r="39" spans="1:6" ht="39.6">
      <c r="A39" s="41">
        <v>2.4</v>
      </c>
      <c r="B39" s="151" t="s">
        <v>42</v>
      </c>
      <c r="C39" s="15" t="s">
        <v>22</v>
      </c>
      <c r="D39" s="155">
        <v>0</v>
      </c>
      <c r="E39" s="156"/>
      <c r="F39" s="150"/>
    </row>
    <row r="40" spans="1:6" ht="26.45">
      <c r="A40" s="41">
        <v>2.5</v>
      </c>
      <c r="B40" s="151" t="s">
        <v>43</v>
      </c>
      <c r="C40" s="15" t="s">
        <v>22</v>
      </c>
      <c r="D40" s="155">
        <f>95*0.2*0.6</f>
        <v>11.4</v>
      </c>
      <c r="E40" s="156"/>
      <c r="F40" s="150"/>
    </row>
    <row r="41" spans="1:6" ht="26.45">
      <c r="A41" s="41">
        <v>2.6</v>
      </c>
      <c r="B41" s="151" t="s">
        <v>44</v>
      </c>
      <c r="C41" s="15" t="s">
        <v>17</v>
      </c>
      <c r="D41" s="155">
        <f>115.64</f>
        <v>115.64</v>
      </c>
      <c r="E41" s="156"/>
      <c r="F41" s="150"/>
    </row>
    <row r="42" spans="1:6" ht="26.45">
      <c r="A42" s="41">
        <v>2.7</v>
      </c>
      <c r="B42" s="151" t="s">
        <v>374</v>
      </c>
      <c r="C42" s="15" t="s">
        <v>22</v>
      </c>
      <c r="D42" s="155">
        <v>0</v>
      </c>
      <c r="E42" s="156"/>
      <c r="F42" s="150"/>
    </row>
    <row r="43" spans="1:6" ht="39.6">
      <c r="A43" s="41">
        <v>2.8</v>
      </c>
      <c r="B43" s="151" t="s">
        <v>46</v>
      </c>
      <c r="C43" s="15" t="s">
        <v>22</v>
      </c>
      <c r="D43" s="155">
        <v>0</v>
      </c>
      <c r="E43" s="156"/>
      <c r="F43" s="150"/>
    </row>
    <row r="44" spans="1:6" ht="26.45">
      <c r="A44" s="41">
        <v>2.9</v>
      </c>
      <c r="B44" s="151" t="s">
        <v>47</v>
      </c>
      <c r="C44" s="15" t="s">
        <v>22</v>
      </c>
      <c r="D44" s="155">
        <v>0</v>
      </c>
      <c r="E44" s="156"/>
      <c r="F44" s="150"/>
    </row>
    <row r="45" spans="1:6" ht="15">
      <c r="A45" s="72">
        <v>2.1</v>
      </c>
      <c r="B45" s="151" t="s">
        <v>579</v>
      </c>
      <c r="C45" s="15" t="s">
        <v>22</v>
      </c>
      <c r="D45" s="155">
        <v>14.17</v>
      </c>
      <c r="E45" s="17"/>
      <c r="F45" s="150"/>
    </row>
    <row r="46" spans="1:6">
      <c r="A46" s="42"/>
      <c r="B46" s="18" t="s">
        <v>49</v>
      </c>
      <c r="C46" s="43"/>
      <c r="D46" s="16"/>
      <c r="E46" s="44"/>
      <c r="F46" s="40">
        <f>SUM(F36:F45)</f>
        <v>0</v>
      </c>
    </row>
    <row r="47" spans="1:6">
      <c r="A47" s="316"/>
      <c r="B47" s="317"/>
      <c r="C47" s="317"/>
      <c r="D47" s="317"/>
      <c r="E47" s="317"/>
      <c r="F47" s="318"/>
    </row>
    <row r="48" spans="1:6">
      <c r="A48" s="43" t="s">
        <v>50</v>
      </c>
      <c r="B48" s="97" t="s">
        <v>51</v>
      </c>
      <c r="C48" s="43"/>
      <c r="D48" s="46"/>
      <c r="E48" s="44"/>
      <c r="F48" s="39"/>
    </row>
    <row r="49" spans="1:8" ht="26.45">
      <c r="A49" s="36">
        <v>3.1</v>
      </c>
      <c r="B49" s="47" t="s">
        <v>375</v>
      </c>
      <c r="C49" s="15" t="s">
        <v>17</v>
      </c>
      <c r="D49" s="16">
        <v>175.5</v>
      </c>
      <c r="E49" s="17"/>
      <c r="F49" s="48"/>
      <c r="G49" s="276"/>
      <c r="H49" s="276"/>
    </row>
    <row r="50" spans="1:8" ht="26.45">
      <c r="A50" s="36">
        <v>3.2</v>
      </c>
      <c r="B50" s="47" t="s">
        <v>376</v>
      </c>
      <c r="C50" s="15" t="s">
        <v>17</v>
      </c>
      <c r="D50" s="16">
        <v>5.08</v>
      </c>
      <c r="E50" s="17"/>
      <c r="F50" s="48"/>
      <c r="G50" s="276"/>
      <c r="H50" s="276"/>
    </row>
    <row r="51" spans="1:8" ht="79.150000000000006">
      <c r="A51" s="36">
        <v>3.3</v>
      </c>
      <c r="B51" s="38" t="s">
        <v>380</v>
      </c>
      <c r="C51" s="49" t="s">
        <v>17</v>
      </c>
      <c r="D51" s="49">
        <f>143.02*1.2</f>
        <v>171.624</v>
      </c>
      <c r="E51" s="17"/>
      <c r="F51" s="48"/>
    </row>
    <row r="52" spans="1:8" ht="86.45" customHeight="1">
      <c r="A52" s="36">
        <v>3.4</v>
      </c>
      <c r="B52" s="38" t="s">
        <v>381</v>
      </c>
      <c r="C52" s="49" t="s">
        <v>17</v>
      </c>
      <c r="D52" s="16">
        <f>106.73*1.1</f>
        <v>117.40300000000002</v>
      </c>
      <c r="E52" s="17"/>
      <c r="F52" s="48"/>
      <c r="G52" s="336"/>
      <c r="H52" s="337"/>
    </row>
    <row r="53" spans="1:8" ht="79.150000000000006">
      <c r="A53" s="36">
        <v>3.5</v>
      </c>
      <c r="B53" s="38" t="s">
        <v>382</v>
      </c>
      <c r="C53" s="49" t="s">
        <v>17</v>
      </c>
      <c r="D53" s="49">
        <f>115.64</f>
        <v>115.64</v>
      </c>
      <c r="E53" s="17"/>
      <c r="F53" s="48"/>
      <c r="G53" s="332"/>
      <c r="H53" s="333"/>
    </row>
    <row r="54" spans="1:8">
      <c r="A54" s="15">
        <v>3.6</v>
      </c>
      <c r="B54" s="38" t="s">
        <v>383</v>
      </c>
      <c r="C54" s="49" t="s">
        <v>12</v>
      </c>
      <c r="D54" s="49">
        <v>1</v>
      </c>
      <c r="E54" s="156"/>
      <c r="F54" s="48"/>
    </row>
    <row r="55" spans="1:8">
      <c r="A55" s="45"/>
      <c r="B55" s="18" t="s">
        <v>60</v>
      </c>
      <c r="C55" s="43"/>
      <c r="D55" s="50"/>
      <c r="E55" s="44"/>
      <c r="F55" s="40">
        <f>SUM(F49:F54)</f>
        <v>0</v>
      </c>
    </row>
    <row r="56" spans="1:8">
      <c r="A56" s="316"/>
      <c r="B56" s="317"/>
      <c r="C56" s="317"/>
      <c r="D56" s="317"/>
      <c r="E56" s="317"/>
      <c r="F56" s="318"/>
    </row>
    <row r="57" spans="1:8">
      <c r="A57" s="43" t="s">
        <v>61</v>
      </c>
      <c r="B57" s="97" t="s">
        <v>580</v>
      </c>
      <c r="C57" s="43"/>
      <c r="D57" s="46"/>
      <c r="E57" s="44"/>
      <c r="F57" s="39"/>
    </row>
    <row r="58" spans="1:8" hidden="1">
      <c r="A58" s="157">
        <v>4.0999999999999996</v>
      </c>
      <c r="B58" s="55" t="s">
        <v>63</v>
      </c>
      <c r="C58" s="43"/>
      <c r="D58" s="37"/>
      <c r="E58" s="44"/>
      <c r="F58" s="40"/>
    </row>
    <row r="59" spans="1:8" s="170" customFormat="1" ht="26.45" hidden="1">
      <c r="A59" s="51" t="s">
        <v>64</v>
      </c>
      <c r="B59" s="119" t="s">
        <v>65</v>
      </c>
      <c r="C59" s="41" t="s">
        <v>66</v>
      </c>
      <c r="D59" s="37"/>
      <c r="E59" s="53"/>
      <c r="F59" s="53">
        <f>PRODUCT(D59,E59)</f>
        <v>0</v>
      </c>
    </row>
    <row r="60" spans="1:8" hidden="1">
      <c r="A60" s="51" t="s">
        <v>67</v>
      </c>
      <c r="B60" s="38" t="s">
        <v>68</v>
      </c>
      <c r="C60" s="41" t="s">
        <v>66</v>
      </c>
      <c r="D60" s="37"/>
      <c r="E60" s="53"/>
      <c r="F60" s="53">
        <f>PRODUCT(D60,E60)</f>
        <v>0</v>
      </c>
    </row>
    <row r="61" spans="1:8" hidden="1">
      <c r="A61" s="157">
        <v>4.2</v>
      </c>
      <c r="B61" s="55" t="s">
        <v>69</v>
      </c>
      <c r="C61" s="43"/>
      <c r="D61" s="37"/>
      <c r="E61" s="44"/>
      <c r="F61" s="40"/>
    </row>
    <row r="62" spans="1:8" s="170" customFormat="1" ht="39.6" hidden="1">
      <c r="A62" s="51" t="s">
        <v>70</v>
      </c>
      <c r="B62" s="38" t="s">
        <v>71</v>
      </c>
      <c r="C62" s="49" t="s">
        <v>17</v>
      </c>
      <c r="D62" s="37"/>
      <c r="E62" s="53"/>
      <c r="F62" s="53">
        <f>PRODUCT(D62,E62)</f>
        <v>0</v>
      </c>
    </row>
    <row r="63" spans="1:8" hidden="1">
      <c r="A63" s="157">
        <v>4.3</v>
      </c>
      <c r="B63" s="55" t="s">
        <v>74</v>
      </c>
      <c r="C63" s="43"/>
      <c r="D63" s="37"/>
      <c r="E63" s="44"/>
      <c r="F63" s="40"/>
    </row>
    <row r="64" spans="1:8" ht="26.45" hidden="1">
      <c r="A64" s="51" t="s">
        <v>393</v>
      </c>
      <c r="B64" s="200" t="s">
        <v>581</v>
      </c>
      <c r="C64" s="49" t="s">
        <v>17</v>
      </c>
      <c r="D64" s="37"/>
      <c r="E64" s="53"/>
      <c r="F64" s="53">
        <f>PRODUCT(D64,E64)</f>
        <v>0</v>
      </c>
    </row>
    <row r="65" spans="1:29" hidden="1">
      <c r="A65" s="51"/>
      <c r="B65" s="18" t="s">
        <v>77</v>
      </c>
      <c r="C65" s="41"/>
      <c r="D65" s="52"/>
      <c r="E65" s="53"/>
      <c r="F65" s="76">
        <v>0</v>
      </c>
    </row>
    <row r="66" spans="1:29">
      <c r="A66" s="157">
        <v>4.0999999999999996</v>
      </c>
      <c r="B66" s="55" t="s">
        <v>63</v>
      </c>
      <c r="C66" s="43"/>
      <c r="D66" s="37"/>
      <c r="E66" s="44"/>
      <c r="F66" s="40"/>
    </row>
    <row r="67" spans="1:29">
      <c r="A67" s="293" t="s">
        <v>64</v>
      </c>
      <c r="B67" s="294" t="s">
        <v>582</v>
      </c>
      <c r="C67" s="295" t="s">
        <v>66</v>
      </c>
      <c r="D67" s="296">
        <v>95</v>
      </c>
      <c r="E67" s="297"/>
      <c r="F67" s="297"/>
    </row>
    <row r="68" spans="1:29">
      <c r="A68" s="51" t="s">
        <v>67</v>
      </c>
      <c r="B68" s="38" t="s">
        <v>68</v>
      </c>
      <c r="C68" s="41" t="s">
        <v>66</v>
      </c>
      <c r="D68" s="37">
        <v>96</v>
      </c>
      <c r="E68" s="53"/>
      <c r="F68" s="53"/>
    </row>
    <row r="69" spans="1:29">
      <c r="A69" s="51" t="s">
        <v>385</v>
      </c>
      <c r="B69" s="38" t="s">
        <v>386</v>
      </c>
      <c r="C69" s="41" t="s">
        <v>12</v>
      </c>
      <c r="D69" s="37">
        <v>1</v>
      </c>
      <c r="E69" s="53"/>
      <c r="F69" s="53"/>
    </row>
    <row r="70" spans="1:29">
      <c r="A70" s="157">
        <v>4.2</v>
      </c>
      <c r="B70" s="55" t="s">
        <v>69</v>
      </c>
      <c r="C70" s="43"/>
      <c r="D70" s="37"/>
      <c r="E70" s="44"/>
      <c r="F70" s="40"/>
    </row>
    <row r="71" spans="1:29" ht="39.6">
      <c r="A71" s="51" t="s">
        <v>70</v>
      </c>
      <c r="B71" s="38" t="s">
        <v>583</v>
      </c>
      <c r="C71" s="49" t="s">
        <v>17</v>
      </c>
      <c r="D71" s="37">
        <v>174.06</v>
      </c>
      <c r="E71" s="53"/>
      <c r="F71" s="53"/>
    </row>
    <row r="72" spans="1:29">
      <c r="A72" s="51" t="s">
        <v>72</v>
      </c>
      <c r="B72" s="38" t="s">
        <v>392</v>
      </c>
      <c r="C72" s="49" t="s">
        <v>66</v>
      </c>
      <c r="D72" s="37">
        <v>56</v>
      </c>
      <c r="E72" s="53"/>
      <c r="F72" s="53"/>
    </row>
    <row r="73" spans="1:29" s="300" customFormat="1">
      <c r="A73" s="293" t="s">
        <v>584</v>
      </c>
      <c r="B73" s="298" t="s">
        <v>585</v>
      </c>
      <c r="C73" s="299" t="s">
        <v>17</v>
      </c>
      <c r="D73" s="296">
        <f>12.5*1</f>
        <v>12.5</v>
      </c>
      <c r="E73" s="297"/>
      <c r="F73" s="297"/>
    </row>
    <row r="74" spans="1:29">
      <c r="A74" s="157">
        <v>4.3</v>
      </c>
      <c r="B74" s="55" t="s">
        <v>74</v>
      </c>
      <c r="C74" s="43"/>
      <c r="D74" s="37"/>
      <c r="E74" s="44"/>
      <c r="F74" s="40"/>
    </row>
    <row r="75" spans="1:29" ht="26.45">
      <c r="A75" s="51" t="s">
        <v>393</v>
      </c>
      <c r="B75" s="200" t="s">
        <v>394</v>
      </c>
      <c r="C75" s="49" t="s">
        <v>17</v>
      </c>
      <c r="D75" s="37">
        <v>0</v>
      </c>
      <c r="E75" s="53"/>
      <c r="F75" s="53"/>
    </row>
    <row r="76" spans="1:29">
      <c r="A76" s="51"/>
      <c r="B76" s="18" t="s">
        <v>77</v>
      </c>
      <c r="C76" s="41"/>
      <c r="D76" s="52"/>
      <c r="E76" s="53"/>
      <c r="F76" s="76"/>
    </row>
    <row r="77" spans="1:29" s="292" customFormat="1" ht="14.45" customHeight="1">
      <c r="F77" s="291"/>
      <c r="G77" s="290"/>
      <c r="H77" s="290"/>
      <c r="I77" s="290"/>
      <c r="J77" s="290"/>
      <c r="K77" s="290"/>
      <c r="L77" s="290"/>
      <c r="M77" s="290"/>
      <c r="N77" s="290"/>
      <c r="O77" s="290"/>
      <c r="P77" s="290"/>
      <c r="Q77" s="290"/>
      <c r="R77" s="290"/>
      <c r="S77" s="290"/>
      <c r="T77" s="290"/>
      <c r="U77" s="290"/>
      <c r="V77" s="290"/>
      <c r="W77" s="290"/>
      <c r="X77" s="290"/>
      <c r="Y77" s="290"/>
      <c r="Z77" s="290"/>
      <c r="AA77" s="290"/>
      <c r="AB77" s="290"/>
      <c r="AC77" s="290"/>
    </row>
    <row r="78" spans="1:29">
      <c r="A78" s="319"/>
      <c r="B78" s="320"/>
      <c r="C78" s="320"/>
      <c r="D78" s="320"/>
      <c r="E78" s="320"/>
      <c r="F78" s="321"/>
    </row>
    <row r="79" spans="1:29" s="170" customFormat="1">
      <c r="A79" s="184" t="s">
        <v>78</v>
      </c>
      <c r="B79" s="185" t="s">
        <v>79</v>
      </c>
      <c r="C79" s="13"/>
      <c r="D79" s="186"/>
      <c r="E79" s="182"/>
      <c r="F79" s="65"/>
    </row>
    <row r="80" spans="1:29" s="170" customFormat="1">
      <c r="A80" s="13">
        <v>5.0999999999999996</v>
      </c>
      <c r="B80" s="55" t="s">
        <v>80</v>
      </c>
      <c r="C80" s="56"/>
      <c r="D80" s="52"/>
      <c r="E80" s="57"/>
      <c r="F80" s="58"/>
    </row>
    <row r="81" spans="1:6" s="170" customFormat="1" ht="26.45">
      <c r="A81" s="51" t="s">
        <v>81</v>
      </c>
      <c r="B81" s="59" t="s">
        <v>526</v>
      </c>
      <c r="C81" s="41"/>
      <c r="D81" s="52"/>
      <c r="E81" s="53"/>
      <c r="F81" s="53"/>
    </row>
    <row r="82" spans="1:6" s="170" customFormat="1">
      <c r="A82" s="51"/>
      <c r="B82" s="60" t="s">
        <v>140</v>
      </c>
      <c r="C82" s="41" t="s">
        <v>59</v>
      </c>
      <c r="D82" s="52">
        <v>2</v>
      </c>
      <c r="E82" s="53"/>
      <c r="F82" s="53"/>
    </row>
    <row r="83" spans="1:6" s="170" customFormat="1">
      <c r="A83" s="13"/>
      <c r="B83" s="61" t="s">
        <v>84</v>
      </c>
      <c r="C83" s="13"/>
      <c r="D83" s="62"/>
      <c r="E83" s="63"/>
      <c r="F83" s="64">
        <f>SUM(F82:F82)</f>
        <v>0</v>
      </c>
    </row>
    <row r="84" spans="1:6">
      <c r="A84" s="120"/>
      <c r="B84" s="173"/>
      <c r="C84" s="120"/>
      <c r="D84" s="174"/>
      <c r="E84" s="175"/>
      <c r="F84" s="172"/>
    </row>
    <row r="85" spans="1:6" s="170" customFormat="1">
      <c r="A85" s="13">
        <v>5.2</v>
      </c>
      <c r="B85" s="66" t="s">
        <v>85</v>
      </c>
      <c r="C85" s="67"/>
      <c r="D85" s="52"/>
      <c r="E85" s="57"/>
      <c r="F85" s="57"/>
    </row>
    <row r="86" spans="1:6" s="170" customFormat="1" ht="26.45">
      <c r="A86" s="51" t="s">
        <v>86</v>
      </c>
      <c r="B86" s="59" t="s">
        <v>406</v>
      </c>
      <c r="C86" s="41"/>
      <c r="D86" s="52"/>
      <c r="E86" s="53"/>
      <c r="F86" s="53"/>
    </row>
    <row r="87" spans="1:6" s="170" customFormat="1">
      <c r="A87" s="51"/>
      <c r="B87" s="60" t="s">
        <v>90</v>
      </c>
      <c r="C87" s="41" t="s">
        <v>59</v>
      </c>
      <c r="D87" s="52">
        <v>1</v>
      </c>
      <c r="E87" s="53"/>
      <c r="F87" s="53"/>
    </row>
    <row r="88" spans="1:6" s="170" customFormat="1">
      <c r="A88" s="68"/>
      <c r="B88" s="61" t="s">
        <v>122</v>
      </c>
      <c r="C88" s="15"/>
      <c r="D88" s="52"/>
      <c r="E88" s="69"/>
      <c r="F88" s="64">
        <f>SUM(F87:F87)</f>
        <v>0</v>
      </c>
    </row>
    <row r="89" spans="1:6">
      <c r="A89" s="130"/>
      <c r="B89" s="130"/>
      <c r="C89" s="131"/>
      <c r="D89" s="93"/>
      <c r="E89" s="133"/>
      <c r="F89" s="126"/>
    </row>
    <row r="90" spans="1:6">
      <c r="A90" s="13">
        <v>5.3</v>
      </c>
      <c r="B90" s="66" t="s">
        <v>123</v>
      </c>
      <c r="C90" s="67"/>
      <c r="D90" s="52"/>
      <c r="E90" s="57"/>
      <c r="F90" s="57"/>
    </row>
    <row r="91" spans="1:6" ht="27.75" customHeight="1">
      <c r="A91" s="67" t="s">
        <v>124</v>
      </c>
      <c r="B91" s="70" t="s">
        <v>586</v>
      </c>
      <c r="C91" s="71"/>
      <c r="D91" s="72"/>
      <c r="E91" s="53"/>
      <c r="F91" s="53"/>
    </row>
    <row r="92" spans="1:6">
      <c r="A92" s="67"/>
      <c r="B92" s="60" t="s">
        <v>587</v>
      </c>
      <c r="C92" s="41" t="s">
        <v>59</v>
      </c>
      <c r="D92" s="52">
        <v>1</v>
      </c>
      <c r="E92" s="53"/>
      <c r="F92" s="53"/>
    </row>
    <row r="93" spans="1:6" ht="26.45">
      <c r="A93" s="67" t="s">
        <v>130</v>
      </c>
      <c r="B93" s="70" t="s">
        <v>159</v>
      </c>
      <c r="C93" s="71"/>
      <c r="D93" s="72"/>
      <c r="E93" s="53"/>
      <c r="F93" s="53"/>
    </row>
    <row r="94" spans="1:6">
      <c r="A94" s="67"/>
      <c r="B94" s="60" t="s">
        <v>88</v>
      </c>
      <c r="C94" s="41" t="s">
        <v>59</v>
      </c>
      <c r="D94" s="52">
        <v>2</v>
      </c>
      <c r="E94" s="53"/>
      <c r="F94" s="53"/>
    </row>
    <row r="95" spans="1:6" ht="26.45">
      <c r="A95" s="67" t="s">
        <v>133</v>
      </c>
      <c r="B95" s="70" t="s">
        <v>588</v>
      </c>
      <c r="C95" s="71"/>
      <c r="D95" s="72"/>
      <c r="E95" s="53"/>
      <c r="F95" s="53"/>
    </row>
    <row r="96" spans="1:6">
      <c r="A96" s="67"/>
      <c r="B96" s="60" t="s">
        <v>589</v>
      </c>
      <c r="C96" s="41" t="s">
        <v>59</v>
      </c>
      <c r="D96" s="52">
        <v>7</v>
      </c>
      <c r="E96" s="53"/>
      <c r="F96" s="53"/>
    </row>
    <row r="97" spans="1:6">
      <c r="A97" s="67"/>
      <c r="B97" s="60" t="s">
        <v>545</v>
      </c>
      <c r="C97" s="41" t="s">
        <v>59</v>
      </c>
      <c r="D97" s="52">
        <v>3</v>
      </c>
      <c r="E97" s="53"/>
      <c r="F97" s="53"/>
    </row>
    <row r="98" spans="1:6">
      <c r="A98" s="68"/>
      <c r="B98" s="61" t="s">
        <v>167</v>
      </c>
      <c r="C98" s="15"/>
      <c r="D98" s="52"/>
      <c r="E98" s="69"/>
      <c r="F98" s="64">
        <f>SUM(F91:F97)</f>
        <v>0</v>
      </c>
    </row>
    <row r="99" spans="1:6">
      <c r="A99" s="187"/>
      <c r="B99" s="61" t="s">
        <v>168</v>
      </c>
      <c r="C99" s="13"/>
      <c r="D99" s="186"/>
      <c r="E99" s="182"/>
      <c r="F99" s="64">
        <f>SUM(F98,F88,F83)</f>
        <v>0</v>
      </c>
    </row>
    <row r="100" spans="1:6">
      <c r="A100" s="316"/>
      <c r="B100" s="317"/>
      <c r="C100" s="317"/>
      <c r="D100" s="317"/>
      <c r="E100" s="317"/>
      <c r="F100" s="318"/>
    </row>
    <row r="101" spans="1:6">
      <c r="A101" s="68" t="s">
        <v>169</v>
      </c>
      <c r="B101" s="98" t="s">
        <v>170</v>
      </c>
      <c r="C101" s="56"/>
      <c r="D101" s="52"/>
      <c r="E101" s="57"/>
      <c r="F101" s="58"/>
    </row>
    <row r="102" spans="1:6" ht="26.45">
      <c r="A102" s="15">
        <v>6.1</v>
      </c>
      <c r="B102" s="74" t="s">
        <v>171</v>
      </c>
      <c r="C102" s="56" t="s">
        <v>17</v>
      </c>
      <c r="D102" s="52">
        <f>235.97+122.37*0.1</f>
        <v>248.20699999999999</v>
      </c>
      <c r="E102" s="57"/>
      <c r="F102" s="53"/>
    </row>
    <row r="103" spans="1:6">
      <c r="A103" s="15">
        <v>6.5</v>
      </c>
      <c r="B103" s="74" t="s">
        <v>410</v>
      </c>
      <c r="C103" s="56" t="s">
        <v>17</v>
      </c>
      <c r="D103" s="52">
        <v>128.94</v>
      </c>
      <c r="E103" s="57"/>
      <c r="F103" s="53"/>
    </row>
    <row r="104" spans="1:6">
      <c r="A104" s="56"/>
      <c r="B104" s="61" t="s">
        <v>175</v>
      </c>
      <c r="C104" s="56"/>
      <c r="D104" s="52"/>
      <c r="E104" s="75"/>
      <c r="F104" s="76">
        <f>SUM(F102:F103)</f>
        <v>0</v>
      </c>
    </row>
    <row r="105" spans="1:6">
      <c r="A105" s="310"/>
      <c r="B105" s="311"/>
      <c r="C105" s="311"/>
      <c r="D105" s="311"/>
      <c r="E105" s="311"/>
      <c r="F105" s="312"/>
    </row>
    <row r="106" spans="1:6">
      <c r="A106" s="68" t="s">
        <v>176</v>
      </c>
      <c r="B106" s="99" t="s">
        <v>177</v>
      </c>
      <c r="C106" s="74"/>
      <c r="D106" s="74"/>
      <c r="E106" s="74"/>
      <c r="F106" s="74"/>
    </row>
    <row r="107" spans="1:6">
      <c r="A107" s="73">
        <v>7.1</v>
      </c>
      <c r="B107" s="74" t="s">
        <v>178</v>
      </c>
      <c r="C107" s="56" t="s">
        <v>17</v>
      </c>
      <c r="D107" s="52">
        <f>361.24</f>
        <v>361.24</v>
      </c>
      <c r="E107" s="57"/>
      <c r="F107" s="53"/>
    </row>
    <row r="108" spans="1:6">
      <c r="A108" s="73">
        <v>7.2</v>
      </c>
      <c r="B108" s="74" t="s">
        <v>179</v>
      </c>
      <c r="C108" s="56" t="s">
        <v>17</v>
      </c>
      <c r="D108" s="52">
        <f>D103</f>
        <v>128.94</v>
      </c>
      <c r="E108" s="57"/>
      <c r="F108" s="53"/>
    </row>
    <row r="109" spans="1:6">
      <c r="A109" s="73">
        <v>7.3</v>
      </c>
      <c r="B109" s="74" t="s">
        <v>180</v>
      </c>
      <c r="C109" s="56" t="s">
        <v>17</v>
      </c>
      <c r="D109" s="52">
        <f>D51</f>
        <v>171.624</v>
      </c>
      <c r="E109" s="57"/>
      <c r="F109" s="53"/>
    </row>
    <row r="110" spans="1:6">
      <c r="A110" s="73">
        <v>7.4</v>
      </c>
      <c r="B110" s="74" t="s">
        <v>181</v>
      </c>
      <c r="C110" s="56" t="s">
        <v>12</v>
      </c>
      <c r="D110" s="52">
        <v>1</v>
      </c>
      <c r="E110" s="57"/>
      <c r="F110" s="53"/>
    </row>
    <row r="111" spans="1:6">
      <c r="A111" s="56"/>
      <c r="B111" s="61" t="s">
        <v>182</v>
      </c>
      <c r="C111" s="56"/>
      <c r="D111" s="52"/>
      <c r="E111" s="57"/>
      <c r="F111" s="64">
        <f>SUM(F107:F110)</f>
        <v>0</v>
      </c>
    </row>
    <row r="112" spans="1:6" s="179" customFormat="1">
      <c r="A112" s="326"/>
      <c r="B112" s="327"/>
      <c r="C112" s="327"/>
      <c r="D112" s="327"/>
      <c r="E112" s="327"/>
      <c r="F112" s="328"/>
    </row>
    <row r="113" spans="1:6" s="179" customFormat="1">
      <c r="A113" s="86" t="s">
        <v>183</v>
      </c>
      <c r="B113" s="88" t="s">
        <v>590</v>
      </c>
      <c r="C113" s="90"/>
      <c r="D113" s="91"/>
      <c r="E113" s="92"/>
      <c r="F113" s="92"/>
    </row>
    <row r="114" spans="1:6" s="179" customFormat="1" ht="27" hidden="1">
      <c r="A114" s="86">
        <v>8.1</v>
      </c>
      <c r="B114" s="140" t="s">
        <v>411</v>
      </c>
      <c r="C114" s="86"/>
      <c r="D114" s="141"/>
      <c r="E114" s="61"/>
      <c r="F114" s="76"/>
    </row>
    <row r="115" spans="1:6" s="179" customFormat="1" ht="26.45" hidden="1">
      <c r="A115" s="81" t="s">
        <v>186</v>
      </c>
      <c r="B115" s="38" t="s">
        <v>412</v>
      </c>
      <c r="C115" s="81" t="s">
        <v>12</v>
      </c>
      <c r="D115" s="49"/>
      <c r="E115" s="144"/>
      <c r="F115" s="53"/>
    </row>
    <row r="116" spans="1:6" s="179" customFormat="1" hidden="1">
      <c r="A116" s="81" t="s">
        <v>188</v>
      </c>
      <c r="B116" s="82" t="s">
        <v>189</v>
      </c>
      <c r="C116" s="81" t="s">
        <v>59</v>
      </c>
      <c r="D116" s="49"/>
      <c r="E116" s="144"/>
      <c r="F116" s="53"/>
    </row>
    <row r="117" spans="1:6" s="179" customFormat="1" hidden="1">
      <c r="A117" s="176"/>
      <c r="B117" s="61" t="s">
        <v>190</v>
      </c>
      <c r="C117" s="86"/>
      <c r="D117" s="141"/>
      <c r="E117" s="61"/>
      <c r="F117" s="64"/>
    </row>
    <row r="118" spans="1:6" s="179" customFormat="1" hidden="1">
      <c r="A118" s="176"/>
      <c r="B118" s="177"/>
      <c r="C118" s="176"/>
      <c r="D118" s="178"/>
      <c r="E118" s="173"/>
      <c r="F118" s="171"/>
    </row>
    <row r="119" spans="1:6" s="179" customFormat="1" ht="40.15" hidden="1">
      <c r="A119" s="86">
        <v>8.1999999999999993</v>
      </c>
      <c r="B119" s="140" t="s">
        <v>191</v>
      </c>
      <c r="C119" s="192" t="s">
        <v>192</v>
      </c>
      <c r="D119" s="193"/>
      <c r="E119" s="61"/>
      <c r="F119" s="194"/>
    </row>
    <row r="120" spans="1:6" s="179" customFormat="1" hidden="1">
      <c r="A120" s="81" t="s">
        <v>193</v>
      </c>
      <c r="B120" s="167" t="s">
        <v>413</v>
      </c>
      <c r="C120" s="166" t="s">
        <v>210</v>
      </c>
      <c r="D120" s="169"/>
      <c r="E120" s="57"/>
      <c r="F120" s="53"/>
    </row>
    <row r="121" spans="1:6" s="179" customFormat="1" hidden="1">
      <c r="A121" s="81" t="s">
        <v>195</v>
      </c>
      <c r="B121" s="167" t="s">
        <v>414</v>
      </c>
      <c r="C121" s="166" t="s">
        <v>210</v>
      </c>
      <c r="D121" s="169"/>
      <c r="E121" s="57"/>
      <c r="F121" s="53"/>
    </row>
    <row r="122" spans="1:6" s="179" customFormat="1" ht="15.6" hidden="1">
      <c r="A122" s="195"/>
      <c r="B122" s="61" t="s">
        <v>205</v>
      </c>
      <c r="C122" s="196" t="s">
        <v>192</v>
      </c>
      <c r="D122" s="197"/>
      <c r="E122" s="61"/>
      <c r="F122" s="64"/>
    </row>
    <row r="123" spans="1:6" s="179" customFormat="1" hidden="1">
      <c r="A123" s="176"/>
      <c r="B123" s="34"/>
      <c r="C123" s="176"/>
      <c r="D123" s="178"/>
      <c r="E123" s="173"/>
      <c r="F123" s="171"/>
    </row>
    <row r="124" spans="1:6" s="179" customFormat="1" ht="15.6" hidden="1">
      <c r="A124" s="86">
        <v>8.3000000000000007</v>
      </c>
      <c r="B124" s="140" t="s">
        <v>206</v>
      </c>
      <c r="C124" s="198"/>
      <c r="D124" s="199"/>
      <c r="E124" s="61"/>
      <c r="F124" s="76"/>
    </row>
    <row r="125" spans="1:6" s="179" customFormat="1" ht="40.15" hidden="1">
      <c r="A125" s="158" t="s">
        <v>207</v>
      </c>
      <c r="B125" s="140" t="s">
        <v>208</v>
      </c>
      <c r="C125" s="198"/>
      <c r="D125" s="199"/>
      <c r="E125" s="61"/>
      <c r="F125" s="76"/>
    </row>
    <row r="126" spans="1:6" s="179" customFormat="1" hidden="1">
      <c r="A126" s="73" t="s">
        <v>209</v>
      </c>
      <c r="B126" s="167" t="s">
        <v>415</v>
      </c>
      <c r="C126" s="166" t="s">
        <v>210</v>
      </c>
      <c r="D126" s="169"/>
      <c r="E126" s="113"/>
      <c r="F126" s="168"/>
    </row>
    <row r="127" spans="1:6" s="179" customFormat="1" hidden="1">
      <c r="A127" s="86"/>
      <c r="B127" s="61" t="s">
        <v>211</v>
      </c>
      <c r="C127" s="86"/>
      <c r="D127" s="141"/>
      <c r="E127" s="61"/>
      <c r="F127" s="76">
        <f>F126</f>
        <v>0</v>
      </c>
    </row>
    <row r="128" spans="1:6" s="179" customFormat="1" hidden="1">
      <c r="A128" s="86"/>
      <c r="B128" s="61" t="s">
        <v>212</v>
      </c>
      <c r="C128" s="90"/>
      <c r="D128" s="91"/>
      <c r="E128" s="61"/>
      <c r="F128" s="64">
        <f>SUM(F127,F122,F117)</f>
        <v>0</v>
      </c>
    </row>
    <row r="129" spans="1:6">
      <c r="A129" s="313"/>
      <c r="B129" s="314"/>
      <c r="C129" s="314"/>
      <c r="D129" s="314"/>
      <c r="E129" s="314"/>
      <c r="F129" s="315"/>
    </row>
    <row r="130" spans="1:6">
      <c r="A130" s="86" t="s">
        <v>213</v>
      </c>
      <c r="B130" s="88" t="s">
        <v>591</v>
      </c>
      <c r="C130" s="84"/>
      <c r="D130" s="85"/>
      <c r="E130" s="57"/>
      <c r="F130" s="87"/>
    </row>
    <row r="131" spans="1:6" ht="27" hidden="1">
      <c r="A131" s="86">
        <v>9.1</v>
      </c>
      <c r="B131" s="140" t="s">
        <v>215</v>
      </c>
      <c r="C131" s="84"/>
      <c r="D131" s="85"/>
      <c r="E131" s="57"/>
      <c r="F131" s="87"/>
    </row>
    <row r="132" spans="1:6" ht="39.6" hidden="1">
      <c r="A132" s="81" t="s">
        <v>216</v>
      </c>
      <c r="B132" s="38" t="s">
        <v>416</v>
      </c>
      <c r="C132" s="81" t="s">
        <v>59</v>
      </c>
      <c r="D132" s="49"/>
      <c r="E132" s="144"/>
      <c r="F132" s="53"/>
    </row>
    <row r="133" spans="1:6" ht="26.45" hidden="1">
      <c r="A133" s="81" t="s">
        <v>218</v>
      </c>
      <c r="B133" s="38" t="s">
        <v>417</v>
      </c>
      <c r="C133" s="81" t="s">
        <v>59</v>
      </c>
      <c r="D133" s="49"/>
      <c r="E133" s="144"/>
      <c r="F133" s="53"/>
    </row>
    <row r="134" spans="1:6" ht="26.45" hidden="1">
      <c r="A134" s="81" t="s">
        <v>220</v>
      </c>
      <c r="B134" s="38" t="s">
        <v>418</v>
      </c>
      <c r="C134" s="84" t="s">
        <v>59</v>
      </c>
      <c r="D134" s="49"/>
      <c r="E134" s="144"/>
      <c r="F134" s="53"/>
    </row>
    <row r="135" spans="1:6" hidden="1">
      <c r="A135" s="81" t="s">
        <v>222</v>
      </c>
      <c r="B135" s="82" t="s">
        <v>419</v>
      </c>
      <c r="C135" s="81" t="s">
        <v>59</v>
      </c>
      <c r="D135" s="49"/>
      <c r="E135" s="144"/>
      <c r="F135" s="53"/>
    </row>
    <row r="136" spans="1:6" hidden="1">
      <c r="A136" s="81" t="s">
        <v>224</v>
      </c>
      <c r="B136" s="82" t="s">
        <v>420</v>
      </c>
      <c r="C136" s="84" t="s">
        <v>59</v>
      </c>
      <c r="D136" s="145"/>
      <c r="E136" s="144"/>
      <c r="F136" s="53"/>
    </row>
    <row r="137" spans="1:6" hidden="1">
      <c r="A137" s="86"/>
      <c r="B137" s="89" t="s">
        <v>234</v>
      </c>
      <c r="C137" s="90"/>
      <c r="D137" s="91"/>
      <c r="E137" s="57"/>
      <c r="F137" s="64"/>
    </row>
    <row r="138" spans="1:6" hidden="1">
      <c r="A138" s="86">
        <v>9.1999999999999993</v>
      </c>
      <c r="B138" s="88" t="s">
        <v>235</v>
      </c>
      <c r="C138" s="84"/>
      <c r="D138" s="85"/>
      <c r="E138" s="57"/>
      <c r="F138" s="87"/>
    </row>
    <row r="139" spans="1:6" hidden="1">
      <c r="A139" s="81" t="s">
        <v>238</v>
      </c>
      <c r="B139" s="82" t="s">
        <v>239</v>
      </c>
      <c r="C139" s="84" t="s">
        <v>59</v>
      </c>
      <c r="D139" s="145"/>
      <c r="E139" s="144"/>
      <c r="F139" s="53"/>
    </row>
    <row r="140" spans="1:6" hidden="1">
      <c r="A140" s="81" t="s">
        <v>240</v>
      </c>
      <c r="B140" s="82" t="s">
        <v>421</v>
      </c>
      <c r="C140" s="84" t="s">
        <v>59</v>
      </c>
      <c r="D140" s="145"/>
      <c r="E140" s="144"/>
      <c r="F140" s="53"/>
    </row>
    <row r="141" spans="1:6" hidden="1">
      <c r="A141" s="81" t="s">
        <v>242</v>
      </c>
      <c r="B141" s="82" t="s">
        <v>245</v>
      </c>
      <c r="C141" s="84" t="s">
        <v>59</v>
      </c>
      <c r="D141" s="145"/>
      <c r="E141" s="144"/>
      <c r="F141" s="53"/>
    </row>
    <row r="142" spans="1:6" hidden="1">
      <c r="A142" s="81" t="s">
        <v>244</v>
      </c>
      <c r="B142" s="82" t="s">
        <v>247</v>
      </c>
      <c r="C142" s="84" t="s">
        <v>59</v>
      </c>
      <c r="D142" s="145"/>
      <c r="E142" s="144"/>
      <c r="F142" s="53"/>
    </row>
    <row r="143" spans="1:6" hidden="1">
      <c r="A143" s="81" t="s">
        <v>246</v>
      </c>
      <c r="B143" s="82" t="s">
        <v>249</v>
      </c>
      <c r="C143" s="84" t="s">
        <v>59</v>
      </c>
      <c r="D143" s="145"/>
      <c r="E143" s="144"/>
      <c r="F143" s="53"/>
    </row>
    <row r="144" spans="1:6" hidden="1">
      <c r="A144" s="86"/>
      <c r="B144" s="89" t="s">
        <v>250</v>
      </c>
      <c r="C144" s="90"/>
      <c r="D144" s="91"/>
      <c r="E144" s="57"/>
      <c r="F144" s="64">
        <f>SUM(F139:F143)</f>
        <v>0</v>
      </c>
    </row>
    <row r="145" spans="1:6" hidden="1">
      <c r="A145" s="81"/>
      <c r="B145" s="61" t="s">
        <v>251</v>
      </c>
      <c r="C145" s="84"/>
      <c r="D145" s="85"/>
      <c r="E145" s="57"/>
      <c r="F145" s="76">
        <f>SUM(F144,F137)</f>
        <v>0</v>
      </c>
    </row>
    <row r="146" spans="1:6">
      <c r="A146" s="23"/>
      <c r="B146" s="21"/>
      <c r="C146" s="24"/>
      <c r="D146" s="25"/>
      <c r="E146" s="20"/>
      <c r="F146" s="22"/>
    </row>
    <row r="147" spans="1:6" ht="26.45">
      <c r="A147" s="13" t="s">
        <v>252</v>
      </c>
      <c r="B147" s="59" t="s">
        <v>253</v>
      </c>
      <c r="C147" s="41"/>
      <c r="D147" s="93"/>
      <c r="E147" s="57"/>
      <c r="F147" s="94"/>
    </row>
    <row r="148" spans="1:6">
      <c r="A148" s="120"/>
      <c r="B148" s="34"/>
      <c r="C148" s="121"/>
      <c r="D148" s="93"/>
      <c r="E148" s="57"/>
      <c r="F148" s="94"/>
    </row>
    <row r="149" spans="1:6">
      <c r="A149" s="104">
        <v>10.1</v>
      </c>
      <c r="B149" s="59" t="s">
        <v>254</v>
      </c>
      <c r="C149" s="35"/>
      <c r="D149" s="122"/>
      <c r="E149" s="57"/>
      <c r="F149" s="123"/>
    </row>
    <row r="150" spans="1:6">
      <c r="A150" s="41" t="s">
        <v>424</v>
      </c>
      <c r="B150" s="124" t="s">
        <v>592</v>
      </c>
      <c r="C150" s="72" t="s">
        <v>12</v>
      </c>
      <c r="D150" s="72">
        <v>1</v>
      </c>
      <c r="E150" s="57"/>
      <c r="F150" s="53"/>
    </row>
    <row r="151" spans="1:6" ht="118.9">
      <c r="A151" s="41" t="s">
        <v>255</v>
      </c>
      <c r="B151" s="124" t="s">
        <v>593</v>
      </c>
      <c r="C151" s="41" t="s">
        <v>12</v>
      </c>
      <c r="D151" s="72">
        <v>1</v>
      </c>
      <c r="E151" s="57"/>
      <c r="F151" s="53"/>
    </row>
    <row r="152" spans="1:6" ht="39.6">
      <c r="A152" s="41" t="s">
        <v>257</v>
      </c>
      <c r="B152" s="124" t="s">
        <v>262</v>
      </c>
      <c r="C152" s="41" t="s">
        <v>59</v>
      </c>
      <c r="D152" s="72">
        <v>1</v>
      </c>
      <c r="E152" s="57"/>
      <c r="F152" s="53"/>
    </row>
    <row r="153" spans="1:6" ht="27.75" customHeight="1">
      <c r="A153" s="41" t="s">
        <v>259</v>
      </c>
      <c r="B153" s="124" t="s">
        <v>263</v>
      </c>
      <c r="C153" s="41" t="s">
        <v>59</v>
      </c>
      <c r="D153" s="72">
        <v>1</v>
      </c>
      <c r="E153" s="57"/>
      <c r="F153" s="53"/>
    </row>
    <row r="154" spans="1:6" ht="79.150000000000006">
      <c r="A154" s="41" t="s">
        <v>261</v>
      </c>
      <c r="B154" s="124" t="s">
        <v>264</v>
      </c>
      <c r="C154" s="41" t="s">
        <v>12</v>
      </c>
      <c r="D154" s="72">
        <v>1</v>
      </c>
      <c r="E154" s="57"/>
      <c r="F154" s="53"/>
    </row>
    <row r="155" spans="1:6" ht="26.45">
      <c r="A155" s="41" t="s">
        <v>428</v>
      </c>
      <c r="B155" s="124" t="s">
        <v>429</v>
      </c>
      <c r="C155" s="72" t="s">
        <v>59</v>
      </c>
      <c r="D155" s="72">
        <v>1</v>
      </c>
      <c r="E155" s="57"/>
      <c r="F155" s="53"/>
    </row>
    <row r="156" spans="1:6" ht="26.45">
      <c r="A156" s="41" t="s">
        <v>430</v>
      </c>
      <c r="B156" s="124" t="s">
        <v>431</v>
      </c>
      <c r="C156" s="41" t="s">
        <v>12</v>
      </c>
      <c r="D156" s="72">
        <v>1</v>
      </c>
      <c r="E156" s="57"/>
      <c r="F156" s="53"/>
    </row>
    <row r="157" spans="1:6" ht="26.45">
      <c r="A157" s="41" t="s">
        <v>432</v>
      </c>
      <c r="B157" s="124" t="s">
        <v>433</v>
      </c>
      <c r="C157" s="41" t="s">
        <v>12</v>
      </c>
      <c r="D157" s="72">
        <v>1</v>
      </c>
      <c r="E157" s="57"/>
      <c r="F157" s="53"/>
    </row>
    <row r="158" spans="1:6">
      <c r="A158" s="121"/>
      <c r="B158" s="125" t="s">
        <v>269</v>
      </c>
      <c r="C158" s="41"/>
      <c r="D158" s="52"/>
      <c r="E158" s="57"/>
      <c r="F158" s="64">
        <f>SUM(F150:F157)</f>
        <v>0</v>
      </c>
    </row>
    <row r="159" spans="1:6">
      <c r="A159" s="104">
        <v>10.199999999999999</v>
      </c>
      <c r="B159" s="59" t="s">
        <v>270</v>
      </c>
      <c r="C159" s="41"/>
      <c r="D159" s="52"/>
      <c r="E159" s="57"/>
      <c r="F159" s="76"/>
    </row>
    <row r="160" spans="1:6" ht="66">
      <c r="A160" s="41" t="s">
        <v>271</v>
      </c>
      <c r="B160" s="124" t="s">
        <v>434</v>
      </c>
      <c r="C160" s="72" t="s">
        <v>12</v>
      </c>
      <c r="D160" s="72">
        <v>1</v>
      </c>
      <c r="E160" s="57"/>
      <c r="F160" s="53"/>
    </row>
    <row r="161" spans="1:7">
      <c r="A161" s="121"/>
      <c r="B161" s="125" t="s">
        <v>279</v>
      </c>
      <c r="C161" s="41"/>
      <c r="D161" s="52"/>
      <c r="E161" s="57"/>
      <c r="F161" s="64">
        <f>SUM(F160:F160)</f>
        <v>0</v>
      </c>
    </row>
    <row r="162" spans="1:7">
      <c r="A162" s="104">
        <v>10.3</v>
      </c>
      <c r="B162" s="59" t="s">
        <v>280</v>
      </c>
      <c r="C162" s="41"/>
      <c r="D162" s="52"/>
      <c r="E162" s="57"/>
      <c r="F162" s="53"/>
    </row>
    <row r="163" spans="1:7">
      <c r="A163" s="41" t="s">
        <v>281</v>
      </c>
      <c r="B163" s="124" t="s">
        <v>282</v>
      </c>
      <c r="C163" s="41" t="s">
        <v>59</v>
      </c>
      <c r="D163" s="72">
        <v>4</v>
      </c>
      <c r="E163" s="57"/>
      <c r="F163" s="53"/>
    </row>
    <row r="164" spans="1:7">
      <c r="A164" s="41" t="s">
        <v>442</v>
      </c>
      <c r="B164" s="124" t="s">
        <v>443</v>
      </c>
      <c r="C164" s="41" t="s">
        <v>59</v>
      </c>
      <c r="D164" s="72">
        <v>26</v>
      </c>
      <c r="E164" s="57"/>
      <c r="F164" s="53"/>
    </row>
    <row r="165" spans="1:7">
      <c r="A165" s="41" t="s">
        <v>444</v>
      </c>
      <c r="B165" s="124" t="s">
        <v>445</v>
      </c>
      <c r="C165" s="41" t="s">
        <v>59</v>
      </c>
      <c r="D165" s="72">
        <v>2</v>
      </c>
      <c r="E165" s="57"/>
      <c r="F165" s="53"/>
    </row>
    <row r="166" spans="1:7">
      <c r="A166" s="41" t="s">
        <v>446</v>
      </c>
      <c r="B166" s="124" t="s">
        <v>447</v>
      </c>
      <c r="C166" s="41" t="s">
        <v>59</v>
      </c>
      <c r="D166" s="72">
        <v>4</v>
      </c>
      <c r="E166" s="57"/>
      <c r="F166" s="53"/>
    </row>
    <row r="167" spans="1:7">
      <c r="A167" s="41"/>
      <c r="B167" s="125" t="s">
        <v>286</v>
      </c>
      <c r="C167" s="41"/>
      <c r="D167" s="72"/>
      <c r="E167" s="57"/>
      <c r="F167" s="64">
        <f>SUM(F163:F166)</f>
        <v>0</v>
      </c>
    </row>
    <row r="168" spans="1:7">
      <c r="A168" s="104">
        <v>10.4</v>
      </c>
      <c r="B168" s="59" t="s">
        <v>287</v>
      </c>
      <c r="C168" s="41"/>
      <c r="D168" s="52"/>
      <c r="E168" s="57"/>
      <c r="F168" s="53"/>
    </row>
    <row r="169" spans="1:7">
      <c r="A169" s="41" t="s">
        <v>288</v>
      </c>
      <c r="B169" s="124" t="s">
        <v>289</v>
      </c>
      <c r="C169" s="41" t="s">
        <v>59</v>
      </c>
      <c r="D169" s="72">
        <v>1</v>
      </c>
      <c r="E169" s="57"/>
      <c r="F169" s="53"/>
    </row>
    <row r="170" spans="1:7">
      <c r="A170" s="41" t="s">
        <v>450</v>
      </c>
      <c r="B170" s="124" t="s">
        <v>451</v>
      </c>
      <c r="C170" s="41" t="s">
        <v>59</v>
      </c>
      <c r="D170" s="72">
        <v>20</v>
      </c>
      <c r="E170" s="57"/>
      <c r="F170" s="53"/>
    </row>
    <row r="171" spans="1:7">
      <c r="A171" s="41" t="s">
        <v>452</v>
      </c>
      <c r="B171" s="124" t="s">
        <v>453</v>
      </c>
      <c r="C171" s="41" t="s">
        <v>59</v>
      </c>
      <c r="D171" s="72">
        <v>4</v>
      </c>
      <c r="E171" s="57"/>
      <c r="F171" s="53"/>
    </row>
    <row r="172" spans="1:7">
      <c r="A172" s="41" t="s">
        <v>456</v>
      </c>
      <c r="B172" s="124" t="s">
        <v>293</v>
      </c>
      <c r="C172" s="41" t="s">
        <v>59</v>
      </c>
      <c r="D172" s="72">
        <v>3</v>
      </c>
      <c r="E172" s="57"/>
      <c r="F172" s="53"/>
    </row>
    <row r="173" spans="1:7" ht="26.45">
      <c r="A173" s="41" t="s">
        <v>457</v>
      </c>
      <c r="B173" s="124" t="s">
        <v>295</v>
      </c>
      <c r="C173" s="41" t="s">
        <v>59</v>
      </c>
      <c r="D173" s="72">
        <v>2</v>
      </c>
      <c r="E173" s="57"/>
      <c r="F173" s="53"/>
    </row>
    <row r="174" spans="1:7">
      <c r="A174" s="121"/>
      <c r="B174" s="125" t="s">
        <v>297</v>
      </c>
      <c r="C174" s="41"/>
      <c r="D174" s="52"/>
      <c r="E174" s="57"/>
      <c r="F174" s="64">
        <f>SUM(F169:F173)</f>
        <v>0</v>
      </c>
    </row>
    <row r="175" spans="1:7">
      <c r="A175" s="35"/>
      <c r="B175" s="35"/>
      <c r="C175" s="35"/>
      <c r="D175" s="122"/>
      <c r="E175" s="173"/>
      <c r="F175" s="126"/>
      <c r="G175" s="179"/>
    </row>
    <row r="176" spans="1:7" s="170" customFormat="1">
      <c r="A176" s="86">
        <v>10.5</v>
      </c>
      <c r="B176" s="127" t="s">
        <v>298</v>
      </c>
      <c r="C176" s="104"/>
      <c r="D176" s="190"/>
      <c r="E176" s="61"/>
      <c r="F176" s="64"/>
      <c r="G176" s="183"/>
    </row>
    <row r="177" spans="1:7" s="170" customFormat="1">
      <c r="A177" s="271" t="s">
        <v>299</v>
      </c>
      <c r="B177" s="258" t="s">
        <v>458</v>
      </c>
      <c r="C177" s="259"/>
      <c r="D177" s="260"/>
      <c r="E177" s="255"/>
      <c r="F177" s="256"/>
      <c r="G177" s="183"/>
    </row>
    <row r="178" spans="1:7" s="170" customFormat="1" ht="39.6">
      <c r="A178" s="257"/>
      <c r="B178" s="258" t="s">
        <v>459</v>
      </c>
      <c r="C178" s="259"/>
      <c r="D178" s="260"/>
      <c r="E178" s="255" t="s">
        <v>460</v>
      </c>
      <c r="F178" s="256" t="s">
        <v>460</v>
      </c>
      <c r="G178" s="183"/>
    </row>
    <row r="179" spans="1:7" s="170" customFormat="1">
      <c r="A179" s="257"/>
      <c r="B179" s="95" t="s">
        <v>300</v>
      </c>
      <c r="C179" s="81" t="s">
        <v>59</v>
      </c>
      <c r="D179" s="96">
        <v>1</v>
      </c>
      <c r="E179" s="57"/>
      <c r="F179" s="53"/>
      <c r="G179" s="183"/>
    </row>
    <row r="180" spans="1:7">
      <c r="A180" s="262"/>
      <c r="B180" s="270" t="s">
        <v>462</v>
      </c>
      <c r="C180" s="263"/>
      <c r="D180" s="264"/>
      <c r="E180" s="265"/>
      <c r="F180" s="64">
        <f>SUBTOTAL(9,F178:F179)</f>
        <v>0</v>
      </c>
      <c r="G180" s="179"/>
    </row>
    <row r="181" spans="1:7">
      <c r="A181" s="262"/>
      <c r="B181" s="254"/>
      <c r="C181" s="263"/>
      <c r="D181" s="264"/>
      <c r="E181" s="265"/>
      <c r="F181" s="266"/>
      <c r="G181" s="179"/>
    </row>
    <row r="182" spans="1:7">
      <c r="A182" s="271" t="s">
        <v>301</v>
      </c>
      <c r="B182" s="258" t="s">
        <v>463</v>
      </c>
      <c r="C182" s="263"/>
      <c r="D182" s="264"/>
      <c r="E182" s="265"/>
      <c r="F182" s="266"/>
    </row>
    <row r="183" spans="1:7">
      <c r="A183" s="267"/>
      <c r="B183" s="258" t="s">
        <v>478</v>
      </c>
      <c r="C183" s="259"/>
      <c r="D183" s="260"/>
      <c r="E183" s="57"/>
      <c r="F183" s="53"/>
    </row>
    <row r="184" spans="1:7">
      <c r="A184" s="267"/>
      <c r="B184" s="203" t="s">
        <v>479</v>
      </c>
      <c r="C184" s="23" t="s">
        <v>59</v>
      </c>
      <c r="D184" s="201">
        <v>1</v>
      </c>
      <c r="E184" s="20"/>
      <c r="F184" s="202"/>
    </row>
    <row r="185" spans="1:7">
      <c r="A185" s="262"/>
      <c r="B185" s="270" t="s">
        <v>480</v>
      </c>
      <c r="C185" s="263"/>
      <c r="D185" s="264"/>
      <c r="E185" s="265"/>
      <c r="F185" s="64">
        <f>SUBTOTAL(9,F183:F184)</f>
        <v>0</v>
      </c>
    </row>
    <row r="186" spans="1:7">
      <c r="A186" s="164"/>
      <c r="B186" s="165"/>
      <c r="C186" s="161"/>
      <c r="D186" s="163"/>
      <c r="E186" s="162"/>
      <c r="F186" s="123"/>
    </row>
    <row r="187" spans="1:7">
      <c r="A187" s="68"/>
      <c r="B187" s="125" t="s">
        <v>305</v>
      </c>
      <c r="C187" s="120"/>
      <c r="D187" s="174"/>
      <c r="E187" s="181"/>
      <c r="F187" s="64">
        <f>F185+F180</f>
        <v>0</v>
      </c>
    </row>
    <row r="188" spans="1:7">
      <c r="A188" s="130"/>
      <c r="B188" s="180"/>
      <c r="C188" s="120"/>
      <c r="D188" s="174"/>
      <c r="E188" s="181"/>
      <c r="F188" s="126"/>
    </row>
    <row r="189" spans="1:7">
      <c r="A189" s="86">
        <v>10.6</v>
      </c>
      <c r="B189" s="127" t="s">
        <v>306</v>
      </c>
      <c r="C189" s="104"/>
      <c r="D189" s="190"/>
      <c r="E189" s="61"/>
      <c r="F189" s="64"/>
    </row>
    <row r="190" spans="1:7" s="170" customFormat="1" ht="39.6">
      <c r="A190" s="51" t="s">
        <v>307</v>
      </c>
      <c r="B190" s="124" t="s">
        <v>481</v>
      </c>
      <c r="C190" s="81" t="s">
        <v>12</v>
      </c>
      <c r="D190" s="96">
        <v>1</v>
      </c>
      <c r="E190" s="57"/>
      <c r="F190" s="53"/>
    </row>
    <row r="191" spans="1:7" s="170" customFormat="1">
      <c r="A191" s="51" t="s">
        <v>309</v>
      </c>
      <c r="B191" s="124" t="s">
        <v>482</v>
      </c>
      <c r="C191" s="81" t="s">
        <v>59</v>
      </c>
      <c r="D191" s="96">
        <v>1</v>
      </c>
      <c r="E191" s="57"/>
      <c r="F191" s="53"/>
    </row>
    <row r="192" spans="1:7" s="170" customFormat="1">
      <c r="A192" s="51" t="s">
        <v>311</v>
      </c>
      <c r="B192" s="95" t="s">
        <v>483</v>
      </c>
      <c r="C192" s="81" t="s">
        <v>59</v>
      </c>
      <c r="D192" s="96">
        <v>1</v>
      </c>
      <c r="E192" s="57"/>
      <c r="F192" s="53"/>
    </row>
    <row r="193" spans="1:6">
      <c r="A193" s="51" t="s">
        <v>313</v>
      </c>
      <c r="B193" s="95" t="s">
        <v>308</v>
      </c>
      <c r="C193" s="81" t="s">
        <v>59</v>
      </c>
      <c r="D193" s="96">
        <v>1</v>
      </c>
      <c r="E193" s="57"/>
      <c r="F193" s="53"/>
    </row>
    <row r="194" spans="1:6">
      <c r="A194" s="51" t="s">
        <v>315</v>
      </c>
      <c r="B194" s="95" t="s">
        <v>549</v>
      </c>
      <c r="C194" s="81" t="s">
        <v>59</v>
      </c>
      <c r="D194" s="96">
        <v>3</v>
      </c>
      <c r="E194" s="57"/>
      <c r="F194" s="53"/>
    </row>
    <row r="195" spans="1:6">
      <c r="A195" s="51" t="s">
        <v>317</v>
      </c>
      <c r="B195" s="95" t="s">
        <v>484</v>
      </c>
      <c r="C195" s="81" t="s">
        <v>59</v>
      </c>
      <c r="D195" s="96">
        <v>7</v>
      </c>
      <c r="E195" s="57"/>
      <c r="F195" s="53"/>
    </row>
    <row r="196" spans="1:6" s="170" customFormat="1" ht="16.5" customHeight="1">
      <c r="A196" s="51" t="s">
        <v>319</v>
      </c>
      <c r="B196" s="95" t="s">
        <v>312</v>
      </c>
      <c r="C196" s="81" t="s">
        <v>59</v>
      </c>
      <c r="D196" s="96">
        <v>2</v>
      </c>
      <c r="E196" s="57"/>
      <c r="F196" s="53"/>
    </row>
    <row r="197" spans="1:6" s="170" customFormat="1">
      <c r="A197" s="51" t="s">
        <v>321</v>
      </c>
      <c r="B197" s="95" t="s">
        <v>314</v>
      </c>
      <c r="C197" s="81" t="s">
        <v>59</v>
      </c>
      <c r="D197" s="96">
        <v>2</v>
      </c>
      <c r="E197" s="57"/>
      <c r="F197" s="53"/>
    </row>
    <row r="198" spans="1:6" s="170" customFormat="1">
      <c r="A198" s="51" t="s">
        <v>323</v>
      </c>
      <c r="B198" s="95" t="s">
        <v>594</v>
      </c>
      <c r="C198" s="81" t="s">
        <v>59</v>
      </c>
      <c r="D198" s="96">
        <v>2</v>
      </c>
      <c r="E198" s="57"/>
      <c r="F198" s="53"/>
    </row>
    <row r="199" spans="1:6">
      <c r="A199" s="130"/>
      <c r="B199" s="125" t="s">
        <v>329</v>
      </c>
      <c r="C199" s="13"/>
      <c r="D199" s="62"/>
      <c r="E199" s="61"/>
      <c r="F199" s="64">
        <f>SUM(F190:F198)</f>
        <v>0</v>
      </c>
    </row>
    <row r="200" spans="1:6">
      <c r="A200" s="130"/>
      <c r="B200" s="61" t="s">
        <v>330</v>
      </c>
      <c r="C200" s="13"/>
      <c r="D200" s="62"/>
      <c r="E200" s="191"/>
      <c r="F200" s="64">
        <f>SUM(F199,F187,F174,F167,F161,F158)</f>
        <v>0</v>
      </c>
    </row>
    <row r="201" spans="1:6">
      <c r="A201" s="120"/>
      <c r="B201" s="173"/>
      <c r="C201" s="35"/>
      <c r="D201" s="122"/>
      <c r="E201" s="173"/>
      <c r="F201" s="126"/>
    </row>
    <row r="202" spans="1:6" ht="15.6">
      <c r="A202" s="188"/>
      <c r="B202" s="189" t="s">
        <v>595</v>
      </c>
      <c r="C202" s="216"/>
      <c r="D202" s="217"/>
      <c r="E202" s="217"/>
      <c r="F202" s="218">
        <f>SUM(F200,F145,F128,F111,F104,F99,F65,F55,F46,F33,F15)</f>
        <v>0</v>
      </c>
    </row>
    <row r="203" spans="1:6">
      <c r="A203" s="338"/>
      <c r="B203" s="339"/>
      <c r="C203" s="339"/>
      <c r="D203" s="339"/>
      <c r="E203" s="339"/>
      <c r="F203" s="340"/>
    </row>
    <row r="204" spans="1:6">
      <c r="A204" s="272" t="s">
        <v>487</v>
      </c>
      <c r="B204" s="323" t="s">
        <v>596</v>
      </c>
      <c r="C204" s="324"/>
      <c r="D204" s="324"/>
      <c r="E204" s="324"/>
      <c r="F204" s="325"/>
    </row>
    <row r="205" spans="1:6">
      <c r="A205" s="147" t="s">
        <v>37</v>
      </c>
      <c r="B205" s="148" t="s">
        <v>38</v>
      </c>
      <c r="C205" s="152"/>
      <c r="D205" s="153"/>
      <c r="E205" s="17"/>
      <c r="F205" s="154"/>
    </row>
    <row r="206" spans="1:6" s="170" customFormat="1" ht="39.6">
      <c r="A206" s="41">
        <v>2.1</v>
      </c>
      <c r="B206" s="151" t="s">
        <v>39</v>
      </c>
      <c r="C206" s="15" t="s">
        <v>22</v>
      </c>
      <c r="D206" s="155">
        <f>20*0.2*0.2</f>
        <v>0.8</v>
      </c>
      <c r="E206" s="156"/>
      <c r="F206" s="150"/>
    </row>
    <row r="207" spans="1:6" ht="39.6">
      <c r="A207" s="41">
        <v>2.2999999999999998</v>
      </c>
      <c r="B207" s="151" t="s">
        <v>597</v>
      </c>
      <c r="C207" s="15" t="s">
        <v>22</v>
      </c>
      <c r="D207" s="155">
        <f>51*0.2*0.2</f>
        <v>2.0400000000000005</v>
      </c>
      <c r="E207" s="156"/>
      <c r="F207" s="150"/>
    </row>
    <row r="208" spans="1:6" ht="39.6">
      <c r="A208" s="41">
        <v>2.4</v>
      </c>
      <c r="B208" s="151" t="s">
        <v>598</v>
      </c>
      <c r="C208" s="15" t="s">
        <v>22</v>
      </c>
      <c r="D208" s="155">
        <f>51*0.2*0.3</f>
        <v>3.06</v>
      </c>
      <c r="E208" s="156"/>
      <c r="F208" s="150"/>
    </row>
    <row r="209" spans="1:6" ht="26.45">
      <c r="A209" s="41">
        <v>2.7</v>
      </c>
      <c r="B209" s="151" t="s">
        <v>599</v>
      </c>
      <c r="C209" s="15" t="s">
        <v>22</v>
      </c>
      <c r="D209" s="155">
        <v>0</v>
      </c>
      <c r="E209" s="17"/>
      <c r="F209" s="150"/>
    </row>
    <row r="210" spans="1:6">
      <c r="A210" s="42"/>
      <c r="B210" s="18" t="s">
        <v>49</v>
      </c>
      <c r="C210" s="43"/>
      <c r="D210" s="16"/>
      <c r="E210" s="44"/>
      <c r="F210" s="40">
        <f>SUM(F206:F209)</f>
        <v>0</v>
      </c>
    </row>
    <row r="211" spans="1:6">
      <c r="A211" s="316"/>
      <c r="B211" s="317"/>
      <c r="C211" s="317"/>
      <c r="D211" s="317"/>
      <c r="E211" s="317"/>
      <c r="F211" s="318"/>
    </row>
    <row r="212" spans="1:6">
      <c r="A212" s="43" t="s">
        <v>50</v>
      </c>
      <c r="B212" s="97" t="s">
        <v>51</v>
      </c>
      <c r="C212" s="43"/>
      <c r="D212" s="46"/>
      <c r="E212" s="44"/>
      <c r="F212" s="39"/>
    </row>
    <row r="213" spans="1:6" ht="26.45">
      <c r="A213" s="36">
        <v>3.1</v>
      </c>
      <c r="B213" s="47" t="s">
        <v>600</v>
      </c>
      <c r="C213" s="15" t="s">
        <v>17</v>
      </c>
      <c r="D213" s="16">
        <f>180.66</f>
        <v>180.66</v>
      </c>
      <c r="E213" s="17"/>
      <c r="F213" s="48"/>
    </row>
    <row r="214" spans="1:6" ht="26.45">
      <c r="A214" s="36">
        <v>3.2</v>
      </c>
      <c r="B214" s="47" t="s">
        <v>379</v>
      </c>
      <c r="C214" s="15" t="s">
        <v>17</v>
      </c>
      <c r="D214" s="16">
        <f>56*0.4</f>
        <v>22.400000000000002</v>
      </c>
      <c r="E214" s="17"/>
      <c r="F214" s="48"/>
    </row>
    <row r="215" spans="1:6" ht="79.150000000000006">
      <c r="A215" s="36">
        <v>3.3</v>
      </c>
      <c r="B215" s="38" t="s">
        <v>380</v>
      </c>
      <c r="C215" s="49" t="s">
        <v>17</v>
      </c>
      <c r="D215" s="49">
        <f>180.66*1.1</f>
        <v>198.726</v>
      </c>
      <c r="E215" s="17"/>
      <c r="F215" s="48"/>
    </row>
    <row r="216" spans="1:6" ht="66">
      <c r="A216" s="36">
        <v>3.4</v>
      </c>
      <c r="B216" s="38" t="s">
        <v>381</v>
      </c>
      <c r="C216" s="49" t="s">
        <v>17</v>
      </c>
      <c r="D216" s="16">
        <f>111.73</f>
        <v>111.73</v>
      </c>
      <c r="E216" s="17"/>
      <c r="F216" s="48"/>
    </row>
    <row r="217" spans="1:6" ht="79.150000000000006">
      <c r="A217" s="36">
        <v>3.5</v>
      </c>
      <c r="B217" s="38" t="s">
        <v>382</v>
      </c>
      <c r="C217" s="49" t="s">
        <v>17</v>
      </c>
      <c r="D217" s="49">
        <v>0</v>
      </c>
      <c r="E217" s="17"/>
      <c r="F217" s="48"/>
    </row>
    <row r="218" spans="1:6">
      <c r="A218" s="36">
        <v>3.6</v>
      </c>
      <c r="B218" s="38" t="s">
        <v>383</v>
      </c>
      <c r="C218" s="49" t="s">
        <v>12</v>
      </c>
      <c r="D218" s="49">
        <v>1</v>
      </c>
      <c r="E218" s="156"/>
      <c r="F218" s="48"/>
    </row>
    <row r="219" spans="1:6">
      <c r="A219" s="45"/>
      <c r="B219" s="18" t="s">
        <v>60</v>
      </c>
      <c r="C219" s="43"/>
      <c r="D219" s="50"/>
      <c r="E219" s="44"/>
      <c r="F219" s="40">
        <f>SUM(F213:F218)</f>
        <v>0</v>
      </c>
    </row>
    <row r="220" spans="1:6">
      <c r="A220" s="316"/>
      <c r="B220" s="317"/>
      <c r="C220" s="317"/>
      <c r="D220" s="317"/>
      <c r="E220" s="317"/>
      <c r="F220" s="318"/>
    </row>
    <row r="221" spans="1:6">
      <c r="A221" s="43" t="s">
        <v>61</v>
      </c>
      <c r="B221" s="97" t="s">
        <v>62</v>
      </c>
      <c r="C221" s="43"/>
      <c r="D221" s="46"/>
      <c r="E221" s="44"/>
      <c r="F221" s="39"/>
    </row>
    <row r="222" spans="1:6">
      <c r="A222" s="157">
        <v>4.0999999999999996</v>
      </c>
      <c r="B222" s="55" t="s">
        <v>63</v>
      </c>
      <c r="C222" s="43"/>
      <c r="D222" s="37"/>
      <c r="E222" s="44"/>
      <c r="F222" s="40"/>
    </row>
    <row r="223" spans="1:6">
      <c r="A223" s="51" t="s">
        <v>64</v>
      </c>
      <c r="B223" s="119" t="s">
        <v>601</v>
      </c>
      <c r="C223" s="41" t="s">
        <v>59</v>
      </c>
      <c r="D223" s="37">
        <v>5</v>
      </c>
      <c r="E223" s="53"/>
      <c r="F223" s="53"/>
    </row>
    <row r="224" spans="1:6">
      <c r="A224" s="51" t="s">
        <v>67</v>
      </c>
      <c r="B224" s="38" t="s">
        <v>68</v>
      </c>
      <c r="C224" s="41" t="s">
        <v>66</v>
      </c>
      <c r="D224" s="37">
        <v>96</v>
      </c>
      <c r="E224" s="53"/>
      <c r="F224" s="53"/>
    </row>
    <row r="225" spans="1:6">
      <c r="A225" s="51" t="s">
        <v>385</v>
      </c>
      <c r="B225" s="38" t="s">
        <v>386</v>
      </c>
      <c r="C225" s="41" t="s">
        <v>12</v>
      </c>
      <c r="D225" s="37">
        <v>1</v>
      </c>
      <c r="E225" s="53"/>
      <c r="F225" s="53"/>
    </row>
    <row r="226" spans="1:6">
      <c r="A226" s="157">
        <v>4.2</v>
      </c>
      <c r="B226" s="55" t="s">
        <v>69</v>
      </c>
      <c r="C226" s="43"/>
      <c r="D226" s="37"/>
      <c r="E226" s="44"/>
      <c r="F226" s="40"/>
    </row>
    <row r="227" spans="1:6" ht="39.6">
      <c r="A227" s="51" t="s">
        <v>70</v>
      </c>
      <c r="B227" s="38" t="s">
        <v>583</v>
      </c>
      <c r="C227" s="49" t="s">
        <v>17</v>
      </c>
      <c r="D227" s="37">
        <v>174.06</v>
      </c>
      <c r="E227" s="53"/>
      <c r="F227" s="53"/>
    </row>
    <row r="228" spans="1:6">
      <c r="A228" s="51" t="s">
        <v>72</v>
      </c>
      <c r="B228" s="38" t="s">
        <v>392</v>
      </c>
      <c r="C228" s="49" t="s">
        <v>66</v>
      </c>
      <c r="D228" s="37">
        <v>56</v>
      </c>
      <c r="E228" s="53"/>
      <c r="F228" s="53"/>
    </row>
    <row r="229" spans="1:6">
      <c r="A229" s="157">
        <v>4.3</v>
      </c>
      <c r="B229" s="55" t="s">
        <v>74</v>
      </c>
      <c r="C229" s="43"/>
      <c r="D229" s="37"/>
      <c r="E229" s="44"/>
      <c r="F229" s="40"/>
    </row>
    <row r="230" spans="1:6" ht="26.45">
      <c r="A230" s="51" t="s">
        <v>393</v>
      </c>
      <c r="B230" s="200" t="s">
        <v>394</v>
      </c>
      <c r="C230" s="49" t="s">
        <v>17</v>
      </c>
      <c r="D230" s="37">
        <v>0</v>
      </c>
      <c r="E230" s="53"/>
      <c r="F230" s="53"/>
    </row>
    <row r="231" spans="1:6">
      <c r="A231" s="51"/>
      <c r="B231" s="18" t="s">
        <v>77</v>
      </c>
      <c r="C231" s="41"/>
      <c r="D231" s="52"/>
      <c r="E231" s="53"/>
      <c r="F231" s="76">
        <f>SUM(F223:F230)</f>
        <v>0</v>
      </c>
    </row>
    <row r="232" spans="1:6">
      <c r="A232" s="319"/>
      <c r="B232" s="320"/>
      <c r="C232" s="320"/>
      <c r="D232" s="320"/>
      <c r="E232" s="320"/>
      <c r="F232" s="321"/>
    </row>
    <row r="233" spans="1:6">
      <c r="A233" s="184" t="s">
        <v>78</v>
      </c>
      <c r="B233" s="185" t="s">
        <v>79</v>
      </c>
      <c r="C233" s="13"/>
      <c r="D233" s="186"/>
      <c r="E233" s="182"/>
      <c r="F233" s="65"/>
    </row>
    <row r="234" spans="1:6">
      <c r="A234" s="13">
        <v>5.0999999999999996</v>
      </c>
      <c r="B234" s="55" t="s">
        <v>80</v>
      </c>
      <c r="C234" s="56"/>
      <c r="D234" s="52"/>
      <c r="E234" s="57"/>
      <c r="F234" s="58"/>
    </row>
    <row r="235" spans="1:6" ht="26.45">
      <c r="A235" s="51" t="s">
        <v>81</v>
      </c>
      <c r="B235" s="59" t="s">
        <v>526</v>
      </c>
      <c r="C235" s="41"/>
      <c r="D235" s="52"/>
      <c r="E235" s="53"/>
      <c r="F235" s="53"/>
    </row>
    <row r="236" spans="1:6">
      <c r="A236" s="51"/>
      <c r="B236" s="60" t="s">
        <v>140</v>
      </c>
      <c r="C236" s="41" t="s">
        <v>59</v>
      </c>
      <c r="D236" s="52">
        <v>2</v>
      </c>
      <c r="E236" s="53"/>
      <c r="F236" s="53"/>
    </row>
    <row r="237" spans="1:6">
      <c r="A237" s="13">
        <v>5.2</v>
      </c>
      <c r="B237" s="66" t="s">
        <v>123</v>
      </c>
      <c r="C237" s="67"/>
      <c r="D237" s="52"/>
      <c r="E237" s="57"/>
      <c r="F237" s="57"/>
    </row>
    <row r="238" spans="1:6" ht="26.45">
      <c r="A238" s="67" t="s">
        <v>86</v>
      </c>
      <c r="B238" s="70" t="s">
        <v>602</v>
      </c>
      <c r="C238" s="71"/>
      <c r="D238" s="72"/>
      <c r="E238" s="53"/>
      <c r="F238" s="53"/>
    </row>
    <row r="239" spans="1:6">
      <c r="A239" s="67"/>
      <c r="B239" s="60" t="s">
        <v>88</v>
      </c>
      <c r="C239" s="41" t="s">
        <v>59</v>
      </c>
      <c r="D239" s="52">
        <v>1</v>
      </c>
      <c r="E239" s="53"/>
      <c r="F239" s="53"/>
    </row>
    <row r="240" spans="1:6" ht="26.45">
      <c r="A240" s="67" t="s">
        <v>92</v>
      </c>
      <c r="B240" s="70" t="s">
        <v>588</v>
      </c>
      <c r="C240" s="71"/>
      <c r="D240" s="72"/>
      <c r="E240" s="53"/>
      <c r="F240" s="53"/>
    </row>
    <row r="241" spans="1:6">
      <c r="A241" s="146"/>
      <c r="B241" s="60" t="s">
        <v>589</v>
      </c>
      <c r="C241" s="41" t="s">
        <v>59</v>
      </c>
      <c r="D241" s="52">
        <v>7</v>
      </c>
      <c r="E241" s="53"/>
      <c r="F241" s="53"/>
    </row>
    <row r="242" spans="1:6">
      <c r="A242" s="68"/>
      <c r="B242" s="61" t="s">
        <v>84</v>
      </c>
      <c r="C242" s="15"/>
      <c r="D242" s="52"/>
      <c r="E242" s="69"/>
      <c r="F242" s="64">
        <f>SUM(F238:F241)</f>
        <v>0</v>
      </c>
    </row>
    <row r="243" spans="1:6">
      <c r="A243" s="187"/>
      <c r="B243" s="61" t="s">
        <v>168</v>
      </c>
      <c r="C243" s="13"/>
      <c r="D243" s="186"/>
      <c r="E243" s="182"/>
      <c r="F243" s="64">
        <f>SUM(F242)</f>
        <v>0</v>
      </c>
    </row>
    <row r="244" spans="1:6">
      <c r="A244" s="316"/>
      <c r="B244" s="317"/>
      <c r="C244" s="317"/>
      <c r="D244" s="317"/>
      <c r="E244" s="317"/>
      <c r="F244" s="318"/>
    </row>
    <row r="245" spans="1:6">
      <c r="A245" s="68" t="s">
        <v>169</v>
      </c>
      <c r="B245" s="98" t="s">
        <v>170</v>
      </c>
      <c r="C245" s="56"/>
      <c r="D245" s="52"/>
      <c r="E245" s="57"/>
      <c r="F245" s="58"/>
    </row>
    <row r="246" spans="1:6" ht="26.45">
      <c r="A246" s="15">
        <v>6.1</v>
      </c>
      <c r="B246" s="74" t="s">
        <v>171</v>
      </c>
      <c r="C246" s="56" t="s">
        <v>17</v>
      </c>
      <c r="D246" s="52">
        <f>111.73</f>
        <v>111.73</v>
      </c>
      <c r="E246" s="57"/>
      <c r="F246" s="53"/>
    </row>
    <row r="247" spans="1:6">
      <c r="A247" s="15">
        <v>6.2</v>
      </c>
      <c r="B247" s="98" t="s">
        <v>603</v>
      </c>
      <c r="C247" s="56" t="s">
        <v>17</v>
      </c>
      <c r="D247" s="52">
        <v>100.78</v>
      </c>
      <c r="E247" s="57"/>
      <c r="F247" s="53"/>
    </row>
    <row r="248" spans="1:6">
      <c r="A248" s="15">
        <v>6.3</v>
      </c>
      <c r="B248" s="74" t="s">
        <v>410</v>
      </c>
      <c r="C248" s="56" t="s">
        <v>17</v>
      </c>
      <c r="D248" s="52">
        <v>124.85</v>
      </c>
      <c r="E248" s="57"/>
      <c r="F248" s="53"/>
    </row>
    <row r="249" spans="1:6">
      <c r="A249" s="56"/>
      <c r="B249" s="61" t="s">
        <v>175</v>
      </c>
      <c r="C249" s="56"/>
      <c r="D249" s="52"/>
      <c r="E249" s="75"/>
      <c r="F249" s="76">
        <f>SUM(F246:F248)</f>
        <v>0</v>
      </c>
    </row>
    <row r="250" spans="1:6">
      <c r="A250" s="310"/>
      <c r="B250" s="311"/>
      <c r="C250" s="311"/>
      <c r="D250" s="311"/>
      <c r="E250" s="311"/>
      <c r="F250" s="312"/>
    </row>
    <row r="251" spans="1:6">
      <c r="A251" s="68" t="s">
        <v>176</v>
      </c>
      <c r="B251" s="99" t="s">
        <v>177</v>
      </c>
      <c r="C251" s="74"/>
      <c r="D251" s="74"/>
      <c r="E251" s="74"/>
      <c r="F251" s="74"/>
    </row>
    <row r="252" spans="1:6">
      <c r="A252" s="73">
        <v>7.1</v>
      </c>
      <c r="B252" s="74" t="s">
        <v>178</v>
      </c>
      <c r="C252" s="56" t="s">
        <v>17</v>
      </c>
      <c r="D252" s="52">
        <f>D216</f>
        <v>111.73</v>
      </c>
      <c r="E252" s="57"/>
      <c r="F252" s="53"/>
    </row>
    <row r="253" spans="1:6">
      <c r="A253" s="73">
        <v>7.2</v>
      </c>
      <c r="B253" s="74" t="s">
        <v>179</v>
      </c>
      <c r="C253" s="56" t="s">
        <v>17</v>
      </c>
      <c r="D253" s="52">
        <f>D248</f>
        <v>124.85</v>
      </c>
      <c r="E253" s="57"/>
      <c r="F253" s="53"/>
    </row>
    <row r="254" spans="1:6">
      <c r="A254" s="73">
        <v>7.3</v>
      </c>
      <c r="B254" s="74" t="s">
        <v>180</v>
      </c>
      <c r="C254" s="56" t="s">
        <v>17</v>
      </c>
      <c r="D254" s="52">
        <f>D215-D247</f>
        <v>97.945999999999998</v>
      </c>
      <c r="E254" s="57"/>
      <c r="F254" s="53"/>
    </row>
    <row r="255" spans="1:6">
      <c r="A255" s="73">
        <v>7.4</v>
      </c>
      <c r="B255" s="74" t="s">
        <v>181</v>
      </c>
      <c r="C255" s="56" t="s">
        <v>12</v>
      </c>
      <c r="D255" s="52">
        <v>1</v>
      </c>
      <c r="E255" s="57"/>
      <c r="F255" s="53"/>
    </row>
    <row r="256" spans="1:6">
      <c r="A256" s="56"/>
      <c r="B256" s="61" t="s">
        <v>182</v>
      </c>
      <c r="C256" s="56"/>
      <c r="D256" s="52"/>
      <c r="E256" s="57"/>
      <c r="F256" s="64">
        <f>SUM(F252:F255)</f>
        <v>0</v>
      </c>
    </row>
    <row r="257" spans="1:6">
      <c r="A257" s="56"/>
      <c r="B257" s="61"/>
      <c r="C257" s="56"/>
      <c r="D257" s="52"/>
      <c r="E257" s="57"/>
      <c r="F257" s="64"/>
    </row>
    <row r="258" spans="1:6" ht="26.45">
      <c r="A258" s="13" t="s">
        <v>252</v>
      </c>
      <c r="B258" s="59" t="s">
        <v>253</v>
      </c>
      <c r="C258" s="41"/>
      <c r="D258" s="93"/>
      <c r="E258" s="57"/>
      <c r="F258" s="94"/>
    </row>
    <row r="259" spans="1:6">
      <c r="A259" s="120"/>
      <c r="B259" s="34"/>
      <c r="C259" s="121"/>
      <c r="D259" s="93"/>
      <c r="E259" s="57"/>
      <c r="F259" s="94"/>
    </row>
    <row r="260" spans="1:6">
      <c r="A260" s="104">
        <v>10.1</v>
      </c>
      <c r="B260" s="59" t="s">
        <v>604</v>
      </c>
      <c r="C260" s="35"/>
      <c r="D260" s="122"/>
      <c r="E260" s="57"/>
      <c r="F260" s="123"/>
    </row>
    <row r="261" spans="1:6" hidden="1">
      <c r="A261" s="121"/>
      <c r="B261" s="125" t="s">
        <v>269</v>
      </c>
      <c r="C261" s="41"/>
      <c r="D261" s="52"/>
      <c r="E261" s="57"/>
      <c r="F261" s="64">
        <v>0</v>
      </c>
    </row>
    <row r="262" spans="1:6">
      <c r="A262" s="104">
        <v>10.199999999999999</v>
      </c>
      <c r="B262" s="59" t="s">
        <v>605</v>
      </c>
      <c r="C262" s="41"/>
      <c r="D262" s="52"/>
      <c r="E262" s="57"/>
      <c r="F262" s="76"/>
    </row>
    <row r="263" spans="1:6" hidden="1">
      <c r="A263" s="121"/>
      <c r="B263" s="125" t="s">
        <v>279</v>
      </c>
      <c r="C263" s="41"/>
      <c r="D263" s="52"/>
      <c r="E263" s="57"/>
      <c r="F263" s="64">
        <v>0</v>
      </c>
    </row>
    <row r="264" spans="1:6">
      <c r="A264" s="104">
        <v>10.3</v>
      </c>
      <c r="B264" s="59" t="s">
        <v>280</v>
      </c>
      <c r="C264" s="41"/>
      <c r="D264" s="52"/>
      <c r="E264" s="57"/>
      <c r="F264" s="53"/>
    </row>
    <row r="265" spans="1:6">
      <c r="A265" s="41" t="s">
        <v>281</v>
      </c>
      <c r="B265" s="124" t="s">
        <v>282</v>
      </c>
      <c r="C265" s="41" t="s">
        <v>59</v>
      </c>
      <c r="D265" s="72">
        <v>0</v>
      </c>
      <c r="E265" s="57"/>
      <c r="F265" s="53"/>
    </row>
    <row r="266" spans="1:6">
      <c r="A266" s="41" t="s">
        <v>442</v>
      </c>
      <c r="B266" s="124" t="s">
        <v>443</v>
      </c>
      <c r="C266" s="41" t="s">
        <v>59</v>
      </c>
      <c r="D266" s="72">
        <v>16</v>
      </c>
      <c r="E266" s="57"/>
      <c r="F266" s="53"/>
    </row>
    <row r="267" spans="1:6">
      <c r="A267" s="41"/>
      <c r="B267" s="125" t="s">
        <v>286</v>
      </c>
      <c r="C267" s="41"/>
      <c r="D267" s="72"/>
      <c r="E267" s="57"/>
      <c r="F267" s="64">
        <f>SUM(F265:F266)</f>
        <v>0</v>
      </c>
    </row>
    <row r="268" spans="1:6">
      <c r="A268" s="104">
        <v>10.4</v>
      </c>
      <c r="B268" s="59" t="s">
        <v>287</v>
      </c>
      <c r="C268" s="41"/>
      <c r="D268" s="52"/>
      <c r="E268" s="57"/>
      <c r="F268" s="53"/>
    </row>
    <row r="269" spans="1:6">
      <c r="A269" s="41" t="s">
        <v>288</v>
      </c>
      <c r="B269" s="124" t="s">
        <v>289</v>
      </c>
      <c r="C269" s="41" t="s">
        <v>59</v>
      </c>
      <c r="D269" s="72">
        <v>1</v>
      </c>
      <c r="E269" s="57"/>
      <c r="F269" s="53"/>
    </row>
    <row r="270" spans="1:6">
      <c r="A270" s="41" t="s">
        <v>456</v>
      </c>
      <c r="B270" s="124" t="s">
        <v>293</v>
      </c>
      <c r="C270" s="41" t="s">
        <v>59</v>
      </c>
      <c r="D270" s="72">
        <v>7</v>
      </c>
      <c r="E270" s="57"/>
      <c r="F270" s="53"/>
    </row>
    <row r="271" spans="1:6">
      <c r="A271" s="121"/>
      <c r="B271" s="125" t="s">
        <v>297</v>
      </c>
      <c r="C271" s="41"/>
      <c r="D271" s="52"/>
      <c r="E271" s="57"/>
      <c r="F271" s="64">
        <f>SUM(F269:F270)</f>
        <v>0</v>
      </c>
    </row>
    <row r="272" spans="1:6">
      <c r="A272" s="35"/>
      <c r="B272" s="35"/>
      <c r="C272" s="35"/>
      <c r="D272" s="122"/>
      <c r="E272" s="173"/>
      <c r="F272" s="126"/>
    </row>
    <row r="273" spans="1:6">
      <c r="A273" s="86">
        <v>10.5</v>
      </c>
      <c r="B273" s="127" t="s">
        <v>298</v>
      </c>
      <c r="C273" s="104"/>
      <c r="D273" s="190"/>
      <c r="E273" s="61"/>
      <c r="F273" s="64"/>
    </row>
    <row r="274" spans="1:6">
      <c r="A274" s="271" t="s">
        <v>299</v>
      </c>
      <c r="B274" s="258" t="s">
        <v>458</v>
      </c>
      <c r="C274" s="259"/>
      <c r="D274" s="260"/>
      <c r="E274" s="255"/>
      <c r="F274" s="256"/>
    </row>
    <row r="275" spans="1:6" hidden="1">
      <c r="A275" s="262"/>
      <c r="B275" s="270" t="s">
        <v>462</v>
      </c>
      <c r="C275" s="263"/>
      <c r="D275" s="264"/>
      <c r="E275" s="265"/>
      <c r="F275" s="64">
        <v>0</v>
      </c>
    </row>
    <row r="276" spans="1:6">
      <c r="A276" s="262"/>
      <c r="B276" s="254"/>
      <c r="C276" s="263"/>
      <c r="D276" s="264"/>
      <c r="E276" s="265"/>
      <c r="F276" s="266"/>
    </row>
    <row r="277" spans="1:6">
      <c r="A277" s="271" t="s">
        <v>301</v>
      </c>
      <c r="B277" s="258" t="s">
        <v>463</v>
      </c>
      <c r="C277" s="263"/>
      <c r="D277" s="264"/>
      <c r="E277" s="265"/>
      <c r="F277" s="266"/>
    </row>
    <row r="278" spans="1:6">
      <c r="A278" s="267"/>
      <c r="B278" s="258" t="s">
        <v>478</v>
      </c>
      <c r="C278" s="259"/>
      <c r="D278" s="260"/>
      <c r="E278" s="57"/>
      <c r="F278" s="53"/>
    </row>
    <row r="279" spans="1:6">
      <c r="A279" s="267"/>
      <c r="B279" s="203" t="s">
        <v>479</v>
      </c>
      <c r="C279" s="23" t="s">
        <v>59</v>
      </c>
      <c r="D279" s="201">
        <v>4</v>
      </c>
      <c r="E279" s="20"/>
      <c r="F279" s="202"/>
    </row>
    <row r="280" spans="1:6">
      <c r="A280" s="262"/>
      <c r="B280" s="270" t="s">
        <v>480</v>
      </c>
      <c r="C280" s="263"/>
      <c r="D280" s="264"/>
      <c r="E280" s="265"/>
      <c r="F280" s="64">
        <f>SUBTOTAL(9,F278:F279)</f>
        <v>0</v>
      </c>
    </row>
    <row r="281" spans="1:6">
      <c r="A281" s="164"/>
      <c r="B281" s="165"/>
      <c r="C281" s="161"/>
      <c r="D281" s="163"/>
      <c r="E281" s="162"/>
      <c r="F281" s="123"/>
    </row>
    <row r="282" spans="1:6">
      <c r="A282" s="68"/>
      <c r="B282" s="125" t="s">
        <v>305</v>
      </c>
      <c r="C282" s="120"/>
      <c r="D282" s="174"/>
      <c r="E282" s="181"/>
      <c r="F282" s="64">
        <f>F280+F275</f>
        <v>0</v>
      </c>
    </row>
    <row r="283" spans="1:6">
      <c r="A283" s="130"/>
      <c r="B283" s="180"/>
      <c r="C283" s="120"/>
      <c r="D283" s="174"/>
      <c r="E283" s="181"/>
      <c r="F283" s="126"/>
    </row>
    <row r="284" spans="1:6">
      <c r="A284" s="86">
        <v>10.6</v>
      </c>
      <c r="B284" s="127" t="s">
        <v>306</v>
      </c>
      <c r="C284" s="104"/>
      <c r="D284" s="190"/>
      <c r="E284" s="61"/>
      <c r="F284" s="64"/>
    </row>
    <row r="285" spans="1:6" ht="39.6">
      <c r="A285" s="51" t="s">
        <v>307</v>
      </c>
      <c r="B285" s="124" t="s">
        <v>481</v>
      </c>
      <c r="C285" s="81" t="s">
        <v>12</v>
      </c>
      <c r="D285" s="96">
        <v>1</v>
      </c>
      <c r="E285" s="57"/>
      <c r="F285" s="53"/>
    </row>
    <row r="286" spans="1:6">
      <c r="A286" s="51" t="s">
        <v>309</v>
      </c>
      <c r="B286" s="124" t="s">
        <v>482</v>
      </c>
      <c r="C286" s="81" t="s">
        <v>59</v>
      </c>
      <c r="D286" s="96">
        <v>1</v>
      </c>
      <c r="E286" s="57"/>
      <c r="F286" s="53"/>
    </row>
    <row r="287" spans="1:6">
      <c r="A287" s="51" t="s">
        <v>311</v>
      </c>
      <c r="B287" s="95" t="s">
        <v>549</v>
      </c>
      <c r="C287" s="81" t="s">
        <v>59</v>
      </c>
      <c r="D287" s="96">
        <v>6</v>
      </c>
      <c r="E287" s="57"/>
      <c r="F287" s="53"/>
    </row>
    <row r="288" spans="1:6">
      <c r="A288" s="51" t="s">
        <v>313</v>
      </c>
      <c r="B288" s="95" t="s">
        <v>483</v>
      </c>
      <c r="C288" s="81" t="s">
        <v>59</v>
      </c>
      <c r="D288" s="96">
        <v>1</v>
      </c>
      <c r="E288" s="57"/>
      <c r="F288" s="53"/>
    </row>
    <row r="289" spans="1:6">
      <c r="A289" s="51" t="s">
        <v>315</v>
      </c>
      <c r="B289" s="95" t="s">
        <v>484</v>
      </c>
      <c r="C289" s="81" t="s">
        <v>59</v>
      </c>
      <c r="D289" s="96">
        <v>6</v>
      </c>
      <c r="E289" s="57"/>
      <c r="F289" s="53"/>
    </row>
    <row r="290" spans="1:6">
      <c r="A290" s="51" t="s">
        <v>317</v>
      </c>
      <c r="B290" s="95" t="s">
        <v>314</v>
      </c>
      <c r="C290" s="81" t="s">
        <v>59</v>
      </c>
      <c r="D290" s="96">
        <v>1</v>
      </c>
      <c r="E290" s="57"/>
      <c r="F290" s="53"/>
    </row>
    <row r="291" spans="1:6">
      <c r="A291" s="51" t="s">
        <v>321</v>
      </c>
      <c r="B291" s="95" t="s">
        <v>594</v>
      </c>
      <c r="C291" s="81" t="s">
        <v>59</v>
      </c>
      <c r="D291" s="96">
        <v>1</v>
      </c>
      <c r="E291" s="57"/>
      <c r="F291" s="53"/>
    </row>
    <row r="292" spans="1:6">
      <c r="A292" s="130"/>
      <c r="B292" s="125" t="s">
        <v>329</v>
      </c>
      <c r="C292" s="13"/>
      <c r="D292" s="62"/>
      <c r="E292" s="61"/>
      <c r="F292" s="64">
        <f>SUM(F285:F291)</f>
        <v>0</v>
      </c>
    </row>
    <row r="293" spans="1:6">
      <c r="A293" s="130"/>
      <c r="B293" s="61" t="s">
        <v>330</v>
      </c>
      <c r="C293" s="13"/>
      <c r="D293" s="62"/>
      <c r="E293" s="191"/>
      <c r="F293" s="64">
        <f>SUM(F292,F282,F271,F267,F263,F261)</f>
        <v>0</v>
      </c>
    </row>
    <row r="294" spans="1:6">
      <c r="A294" s="120"/>
      <c r="B294" s="173"/>
      <c r="C294" s="35"/>
      <c r="D294" s="122"/>
      <c r="E294" s="173"/>
      <c r="F294" s="126"/>
    </row>
    <row r="295" spans="1:6" ht="15.6">
      <c r="A295" s="188"/>
      <c r="B295" s="189" t="s">
        <v>606</v>
      </c>
      <c r="C295" s="216"/>
      <c r="D295" s="217"/>
      <c r="E295" s="217"/>
      <c r="F295" s="218">
        <f>SUM(F256,F249,F243,F231,F219,F210,F293)</f>
        <v>0</v>
      </c>
    </row>
    <row r="296" spans="1:6" ht="15.6">
      <c r="A296" s="188"/>
      <c r="B296" s="189" t="s">
        <v>607</v>
      </c>
      <c r="C296" s="216"/>
      <c r="D296" s="217"/>
      <c r="E296" s="217"/>
      <c r="F296" s="218">
        <f>F295+F202</f>
        <v>0</v>
      </c>
    </row>
    <row r="300" spans="1:6">
      <c r="B300" s="204"/>
    </row>
  </sheetData>
  <mergeCells count="22">
    <mergeCell ref="A232:F232"/>
    <mergeCell ref="A244:F244"/>
    <mergeCell ref="A250:F250"/>
    <mergeCell ref="A105:F105"/>
    <mergeCell ref="A112:F112"/>
    <mergeCell ref="A129:F129"/>
    <mergeCell ref="A203:F203"/>
    <mergeCell ref="B204:F204"/>
    <mergeCell ref="A211:F211"/>
    <mergeCell ref="G52:H52"/>
    <mergeCell ref="G53:H53"/>
    <mergeCell ref="A56:F56"/>
    <mergeCell ref="A78:F78"/>
    <mergeCell ref="A220:F220"/>
    <mergeCell ref="A100:F100"/>
    <mergeCell ref="A34:F34"/>
    <mergeCell ref="A47:F47"/>
    <mergeCell ref="A1:F1"/>
    <mergeCell ref="A2:F2"/>
    <mergeCell ref="A3:F3"/>
    <mergeCell ref="B6:F6"/>
    <mergeCell ref="A16:F16"/>
  </mergeCells>
  <pageMargins left="0.70866141732283472" right="0.70866141732283472" top="0.74803149606299213" bottom="0.74803149606299213" header="0.31496062992125984" footer="0.31496062992125984"/>
  <pageSetup paperSize="9" scale="2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48956-CFD3-482B-9ABD-4BAAC83D984D}">
  <sheetPr>
    <tabColor theme="9"/>
    <pageSetUpPr fitToPage="1"/>
  </sheetPr>
  <dimension ref="A1:I16"/>
  <sheetViews>
    <sheetView tabSelected="1" view="pageBreakPreview" topLeftCell="A7" zoomScale="130" zoomScaleNormal="100" zoomScaleSheetLayoutView="130" zoomScalePageLayoutView="115" workbookViewId="0">
      <selection sqref="A1:F1"/>
    </sheetView>
  </sheetViews>
  <sheetFormatPr defaultColWidth="11.42578125" defaultRowHeight="13.9"/>
  <cols>
    <col min="1" max="2" width="10.7109375" style="211" customWidth="1"/>
    <col min="3" max="3" width="30.28515625" style="211" customWidth="1"/>
    <col min="4" max="4" width="15.7109375" style="211" customWidth="1"/>
    <col min="5" max="5" width="20.7109375" style="211" customWidth="1"/>
    <col min="6" max="6" width="20.7109375" style="215" customWidth="1"/>
    <col min="7" max="7" width="7.5703125" style="211" customWidth="1"/>
    <col min="8" max="8" width="20" style="212" customWidth="1"/>
    <col min="9" max="9" width="22.28515625" style="211" customWidth="1"/>
    <col min="10" max="16384" width="11.42578125" style="211"/>
  </cols>
  <sheetData>
    <row r="1" spans="1:9" ht="83.25" customHeight="1">
      <c r="A1" s="322" t="s">
        <v>608</v>
      </c>
      <c r="B1" s="322"/>
      <c r="C1" s="322"/>
      <c r="D1" s="322"/>
      <c r="E1" s="322"/>
      <c r="F1" s="322"/>
      <c r="G1" s="209"/>
      <c r="H1" s="210"/>
      <c r="I1" s="209"/>
    </row>
    <row r="2" spans="1:9" ht="25.5" customHeight="1">
      <c r="A2" s="302" t="s">
        <v>1</v>
      </c>
      <c r="B2" s="302"/>
      <c r="C2" s="302"/>
      <c r="D2" s="302"/>
      <c r="E2" s="302"/>
      <c r="F2" s="302"/>
    </row>
    <row r="3" spans="1:9" s="213" customFormat="1" ht="15.75" customHeight="1">
      <c r="A3" s="353" t="s">
        <v>609</v>
      </c>
      <c r="B3" s="353"/>
      <c r="C3" s="353"/>
      <c r="D3" s="353"/>
      <c r="E3" s="353"/>
      <c r="F3" s="353"/>
    </row>
    <row r="4" spans="1:9" s="213" customFormat="1" ht="15.75" customHeight="1">
      <c r="A4" s="214"/>
      <c r="B4" s="214"/>
      <c r="C4" s="214"/>
      <c r="D4" s="214"/>
      <c r="E4" s="214"/>
      <c r="F4" s="214"/>
    </row>
    <row r="5" spans="1:9" s="213" customFormat="1" ht="15.75" customHeight="1">
      <c r="A5" s="354" t="s">
        <v>610</v>
      </c>
      <c r="B5" s="354"/>
      <c r="C5" s="354"/>
      <c r="D5" s="219" t="s">
        <v>611</v>
      </c>
      <c r="E5" s="219" t="s">
        <v>612</v>
      </c>
      <c r="F5" s="219" t="s">
        <v>613</v>
      </c>
    </row>
    <row r="6" spans="1:9" s="213" customFormat="1" ht="15.75" customHeight="1">
      <c r="A6" s="358" t="s">
        <v>614</v>
      </c>
      <c r="B6" s="359"/>
      <c r="C6" s="360"/>
      <c r="D6" s="281"/>
      <c r="E6" s="281"/>
      <c r="F6" s="281"/>
    </row>
    <row r="7" spans="1:9" s="213" customFormat="1" ht="73.900000000000006" customHeight="1">
      <c r="A7" s="355" t="s">
        <v>11</v>
      </c>
      <c r="B7" s="356"/>
      <c r="C7" s="357"/>
      <c r="D7" s="158">
        <v>1</v>
      </c>
      <c r="E7" s="68">
        <v>0</v>
      </c>
      <c r="F7" s="68">
        <f>D7*E7</f>
        <v>0</v>
      </c>
    </row>
    <row r="8" spans="1:9" s="213" customFormat="1" ht="18.600000000000001" customHeight="1">
      <c r="A8" s="343" t="s">
        <v>15</v>
      </c>
      <c r="B8" s="344"/>
      <c r="C8" s="345"/>
      <c r="D8" s="158">
        <v>1</v>
      </c>
      <c r="E8" s="68">
        <v>0</v>
      </c>
      <c r="F8" s="68">
        <f t="shared" ref="F8:F9" si="0">D8*E8</f>
        <v>0</v>
      </c>
    </row>
    <row r="9" spans="1:9" s="213" customFormat="1" ht="21" customHeight="1">
      <c r="A9" s="343" t="s">
        <v>577</v>
      </c>
      <c r="B9" s="344"/>
      <c r="C9" s="345"/>
      <c r="D9" s="158">
        <v>1</v>
      </c>
      <c r="E9" s="68">
        <v>0</v>
      </c>
      <c r="F9" s="68">
        <f t="shared" si="0"/>
        <v>0</v>
      </c>
    </row>
    <row r="10" spans="1:9" s="213" customFormat="1" ht="52.9" customHeight="1">
      <c r="A10" s="355" t="s">
        <v>13</v>
      </c>
      <c r="B10" s="356"/>
      <c r="C10" s="357"/>
      <c r="D10" s="158">
        <v>1</v>
      </c>
      <c r="E10" s="68">
        <v>0</v>
      </c>
      <c r="F10" s="68">
        <f>D10*E10</f>
        <v>0</v>
      </c>
    </row>
    <row r="11" spans="1:9" ht="24.95" customHeight="1">
      <c r="A11" s="346" t="s">
        <v>521</v>
      </c>
      <c r="B11" s="346"/>
      <c r="C11" s="346"/>
      <c r="D11" s="220">
        <v>1</v>
      </c>
      <c r="E11" s="221">
        <f>'DQE_MATERNITE_CENTRE_ONE S'!F299</f>
        <v>0</v>
      </c>
      <c r="F11" s="222">
        <f>D11*E11</f>
        <v>0</v>
      </c>
    </row>
    <row r="12" spans="1:9" ht="24.95" customHeight="1">
      <c r="A12" s="346" t="s">
        <v>368</v>
      </c>
      <c r="B12" s="346"/>
      <c r="C12" s="346"/>
      <c r="D12" s="220">
        <v>1</v>
      </c>
      <c r="E12" s="221">
        <f>'DQE_BLOCOPERATOIRECMA_BOR '!F262</f>
        <v>0</v>
      </c>
      <c r="F12" s="222">
        <f t="shared" ref="F12" si="1">D12*E12</f>
        <v>0</v>
      </c>
    </row>
    <row r="13" spans="1:9" ht="24.95" customHeight="1">
      <c r="A13" s="347" t="s">
        <v>615</v>
      </c>
      <c r="B13" s="348"/>
      <c r="C13" s="349"/>
      <c r="D13" s="285"/>
      <c r="E13" s="286"/>
      <c r="F13" s="287">
        <f>SUM(F7:F12)</f>
        <v>0</v>
      </c>
    </row>
    <row r="14" spans="1:9" ht="24.95" customHeight="1">
      <c r="A14" s="350" t="s">
        <v>616</v>
      </c>
      <c r="B14" s="351"/>
      <c r="C14" s="352"/>
      <c r="D14" s="282"/>
      <c r="E14" s="283"/>
      <c r="F14" s="284"/>
    </row>
    <row r="15" spans="1:9" ht="24.95" customHeight="1">
      <c r="A15" s="346" t="s">
        <v>617</v>
      </c>
      <c r="B15" s="346"/>
      <c r="C15" s="346"/>
      <c r="D15" s="220">
        <v>1</v>
      </c>
      <c r="E15" s="221">
        <f>DQE_DRD!F296</f>
        <v>0</v>
      </c>
      <c r="F15" s="222">
        <f t="shared" ref="F15" si="2">D15*E15</f>
        <v>0</v>
      </c>
    </row>
    <row r="16" spans="1:9" ht="24.95" customHeight="1">
      <c r="A16" s="341" t="s">
        <v>618</v>
      </c>
      <c r="B16" s="342"/>
      <c r="C16" s="342"/>
      <c r="D16" s="288"/>
      <c r="E16" s="289"/>
      <c r="F16" s="287">
        <f>SUM(F15)</f>
        <v>0</v>
      </c>
    </row>
  </sheetData>
  <mergeCells count="15">
    <mergeCell ref="A1:F1"/>
    <mergeCell ref="A2:F2"/>
    <mergeCell ref="A3:F3"/>
    <mergeCell ref="A5:C5"/>
    <mergeCell ref="A11:C11"/>
    <mergeCell ref="A7:C7"/>
    <mergeCell ref="A10:C10"/>
    <mergeCell ref="A6:C6"/>
    <mergeCell ref="A16:C16"/>
    <mergeCell ref="A8:C8"/>
    <mergeCell ref="A9:C9"/>
    <mergeCell ref="A12:C12"/>
    <mergeCell ref="A15:C15"/>
    <mergeCell ref="A13:C13"/>
    <mergeCell ref="A14:C14"/>
  </mergeCells>
  <printOptions horizontalCentered="1"/>
  <pageMargins left="0.70866141732283472" right="0.70866141732283472" top="0.74803149606299213" bottom="0.74803149606299213" header="0.31496062992125984" footer="0.31496062992125984"/>
  <pageSetup paperSize="9" scale="80" orientation="portrait" r:id="rId1"/>
  <headerFooter>
    <oddFooter>&amp;LDQE&amp;CPROJET DE RENOVATION DU SIEGE DE LA SONABHY&amp;R&amp;P sur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a6c189a245ca907dc0478d9e7fd75e73">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33bd391590ac018aac957529e3a5b339"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017ef222-b715-482d-b25e-e029bead7086" xsi:nil="true"/>
    <lcf76f155ced4ddcb4097134ff3c332f xmlns="017ef222-b715-482d-b25e-e029bead7086">
      <Terms xmlns="http://schemas.microsoft.com/office/infopath/2007/PartnerControls"/>
    </lcf76f155ced4ddcb4097134ff3c332f>
    <TaxCatchAll xmlns="1c89b6ff-5735-4b3c-9dca-50e80957a65b">
      <Value>2</Value>
      <Value>1</Value>
    </TaxCatchAll>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BFAENABEL-680963957-117439</_dlc_DocId>
    <_dlc_DocIdUrl xmlns="508ba6eb-9e09-4fd5-92f2-2d9921329f2d">
      <Url>https://enabelbe.sharepoint.com/sites/BFA/_layouts/15/DocIdRedir.aspx?ID=BFAENABEL-680963957-117439</Url>
      <Description>BFAENABEL-680963957-117439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8D8798C-6123-4F2E-A387-62A00616870E}"/>
</file>

<file path=customXml/itemProps2.xml><?xml version="1.0" encoding="utf-8"?>
<ds:datastoreItem xmlns:ds="http://schemas.openxmlformats.org/officeDocument/2006/customXml" ds:itemID="{CE80737F-3553-4E5F-8C3D-9B388BB7337C}"/>
</file>

<file path=customXml/itemProps3.xml><?xml version="1.0" encoding="utf-8"?>
<ds:datastoreItem xmlns:ds="http://schemas.openxmlformats.org/officeDocument/2006/customXml" ds:itemID="{F428D9EC-E536-4DE3-A3FB-06AB22722289}"/>
</file>

<file path=customXml/itemProps4.xml><?xml version="1.0" encoding="utf-8"?>
<ds:datastoreItem xmlns:ds="http://schemas.openxmlformats.org/officeDocument/2006/customXml" ds:itemID="{19792FB0-FF22-4122-BB0D-03B3D5672C8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Wilfried SALAMBANGA</dc:creator>
  <cp:keywords/>
  <dc:description/>
  <cp:lastModifiedBy>KOUAKOU, VALERIE AQUISSY</cp:lastModifiedBy>
  <cp:revision/>
  <dcterms:created xsi:type="dcterms:W3CDTF">2024-08-19T17:32:25Z</dcterms:created>
  <dcterms:modified xsi:type="dcterms:W3CDTF">2025-10-23T13:56:54Z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0x01010084FDA68FEA25C847A6128BBA7C1A6EC100DB6DE8DA9F5B134CB8F62B604C7D5447</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Document_Language">
    <vt:lpwstr>2;#FR|e5b11214-e6fc-4287-b1cb-b050c041462c</vt:lpwstr>
  </property>
  <property fmtid="{D5CDD505-2E9C-101B-9397-08002B2CF9AE}" pid="8" name="Country">
    <vt:lpwstr>1;#BFA|5c109890-987f-4e01-800e-8d3dbccbd13c</vt:lpwstr>
  </property>
  <property fmtid="{D5CDD505-2E9C-101B-9397-08002B2CF9AE}" pid="9" name="_dlc_DocIdItemGuid">
    <vt:lpwstr>337d3dc7-fb17-4145-a42d-7d44f159256e</vt:lpwstr>
  </property>
  <property fmtid="{D5CDD505-2E9C-101B-9397-08002B2CF9AE}" pid="10" name="Document_Type">
    <vt:lpwstr/>
  </property>
  <property fmtid="{D5CDD505-2E9C-101B-9397-08002B2CF9AE}" pid="11" name="Document_Status">
    <vt:lpwstr/>
  </property>
  <property fmtid="{D5CDD505-2E9C-101B-9397-08002B2CF9AE}" pid="12" name="Contract_reference">
    <vt:lpwstr/>
  </property>
  <property fmtid="{D5CDD505-2E9C-101B-9397-08002B2CF9AE}" pid="13" name="Project_code">
    <vt:lpwstr/>
  </property>
</Properties>
</file>