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abelbe.sharepoint.com/sites/BFA/Contracts/21_Marchés_Publics/BFA2300511_Resil_Kaya/BFA23005-10090_CSC_Unité stokage oignons/2_CSC/"/>
    </mc:Choice>
  </mc:AlternateContent>
  <xr:revisionPtr revIDLastSave="2" documentId="8_{6F775352-3E8A-4640-A4E3-69AA892F9DC1}" xr6:coauthVersionLast="47" xr6:coauthVersionMax="47" xr10:uidLastSave="{FA18721D-F5E2-4003-95CD-EFD45D3ABD08}"/>
  <bookViews>
    <workbookView xWindow="-108" yWindow="-108" windowWidth="23256" windowHeight="12456" tabRatio="779" xr2:uid="{2A3C2C37-4D0E-4383-9EF5-F0A9F4CF1CFD}"/>
  </bookViews>
  <sheets>
    <sheet name="1-CDQE_Magasin stockage" sheetId="7" r:id="rId1"/>
    <sheet name="2-CDQE_Salle de réunion" sheetId="8" r:id="rId2"/>
    <sheet name="3-CDQE_Latrines" sheetId="9" r:id="rId3"/>
    <sheet name="CDQE_Recap" sheetId="10" r:id="rId4"/>
    <sheet name="1-CBPU_Magasin stockage" sheetId="12" r:id="rId5"/>
    <sheet name="2-CBPU_Salle de Réunion" sheetId="13" r:id="rId6"/>
  </sheets>
  <definedNames>
    <definedName name="_xlnm.Print_Titles" localSheetId="4">'1-CBPU_Magasin stockage'!$7:$8</definedName>
    <definedName name="_xlnm.Print_Titles" localSheetId="0">'1-CDQE_Magasin stockage'!$7:$8</definedName>
    <definedName name="_xlnm.Print_Titles" localSheetId="5">'2-CBPU_Salle de Réunion'!$7:$7</definedName>
    <definedName name="_xlnm.Print_Titles" localSheetId="1">'2-CDQE_Salle de réunion'!$7:$7</definedName>
    <definedName name="_xlnm.Print_Titles" localSheetId="2">'3-CDQE_Latrines'!$6:$7</definedName>
    <definedName name="_xlnm.Print_Titles" localSheetId="3">CDQE_Recap!$6:$6</definedName>
    <definedName name="_xlnm.Print_Area" localSheetId="4">'1-CBPU_Magasin stockage'!$A$1:$E$70</definedName>
    <definedName name="_xlnm.Print_Area" localSheetId="0">'1-CDQE_Magasin stockage'!$A$1:$F$74</definedName>
    <definedName name="_xlnm.Print_Area" localSheetId="5">'2-CBPU_Salle de Réunion'!$A$1:$E$50</definedName>
    <definedName name="_xlnm.Print_Area" localSheetId="1">'2-CDQE_Salle de réunion'!$A$1:$F$54</definedName>
    <definedName name="_xlnm.Print_Area" localSheetId="2">'3-CDQE_Latrines'!$A$1:$F$79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7" l="1"/>
  <c r="F12" i="7"/>
  <c r="F11" i="7"/>
  <c r="F41" i="7"/>
  <c r="D19" i="9"/>
  <c r="F19" i="9" s="1"/>
  <c r="D18" i="9"/>
  <c r="F18" i="9" s="1"/>
  <c r="E38" i="12"/>
  <c r="F71" i="9"/>
  <c r="F70" i="9"/>
  <c r="F69" i="9"/>
  <c r="D66" i="9"/>
  <c r="F66" i="9" s="1"/>
  <c r="F65" i="9"/>
  <c r="F64" i="9"/>
  <c r="F59" i="9"/>
  <c r="F58" i="9"/>
  <c r="D55" i="9"/>
  <c r="F55" i="9" s="1"/>
  <c r="D54" i="9"/>
  <c r="F54" i="9" s="1"/>
  <c r="F50" i="9"/>
  <c r="F49" i="9"/>
  <c r="F48" i="9"/>
  <c r="F45" i="9"/>
  <c r="F44" i="9"/>
  <c r="F43" i="9"/>
  <c r="F40" i="9"/>
  <c r="F39" i="9"/>
  <c r="F38" i="9"/>
  <c r="F37" i="9"/>
  <c r="D36" i="9"/>
  <c r="F36" i="9" s="1"/>
  <c r="D35" i="9"/>
  <c r="F35" i="9" s="1"/>
  <c r="D34" i="9"/>
  <c r="F34" i="9" s="1"/>
  <c r="D33" i="9"/>
  <c r="F33" i="9" s="1"/>
  <c r="D31" i="9"/>
  <c r="F31" i="9" s="1"/>
  <c r="F30" i="9"/>
  <c r="D29" i="9"/>
  <c r="F29" i="9" s="1"/>
  <c r="D28" i="9"/>
  <c r="F28" i="9" s="1"/>
  <c r="D27" i="9"/>
  <c r="F27" i="9" s="1"/>
  <c r="D26" i="9"/>
  <c r="F26" i="9" s="1"/>
  <c r="D25" i="9"/>
  <c r="F25" i="9" s="1"/>
  <c r="D22" i="9"/>
  <c r="F22" i="9" s="1"/>
  <c r="F23" i="9" s="1"/>
  <c r="D17" i="9"/>
  <c r="F17" i="9" s="1"/>
  <c r="D16" i="9"/>
  <c r="F16" i="9" s="1"/>
  <c r="D15" i="9"/>
  <c r="F15" i="9" s="1"/>
  <c r="D14" i="9"/>
  <c r="F14" i="9" s="1"/>
  <c r="F13" i="9"/>
  <c r="D12" i="9"/>
  <c r="F12" i="9" s="1"/>
  <c r="F9" i="9"/>
  <c r="F10" i="9" s="1"/>
  <c r="D46" i="8"/>
  <c r="D45" i="8"/>
  <c r="D41" i="8"/>
  <c r="F41" i="8" s="1"/>
  <c r="D40" i="8"/>
  <c r="F40" i="8" s="1"/>
  <c r="D39" i="8"/>
  <c r="F39" i="8" s="1"/>
  <c r="F38" i="8"/>
  <c r="D37" i="8"/>
  <c r="F37" i="8" s="1"/>
  <c r="F29" i="8"/>
  <c r="F35" i="8" s="1"/>
  <c r="D26" i="8"/>
  <c r="F25" i="8"/>
  <c r="F24" i="8"/>
  <c r="D21" i="8"/>
  <c r="F21" i="8" s="1"/>
  <c r="D20" i="8"/>
  <c r="F20" i="8" s="1"/>
  <c r="D19" i="8"/>
  <c r="D44" i="8" s="1"/>
  <c r="D18" i="8"/>
  <c r="F18" i="8" s="1"/>
  <c r="D17" i="8"/>
  <c r="F17" i="8" s="1"/>
  <c r="F14" i="8"/>
  <c r="F15" i="8" s="1"/>
  <c r="D11" i="8"/>
  <c r="F11" i="8" s="1"/>
  <c r="D10" i="8"/>
  <c r="F10" i="8" s="1"/>
  <c r="F12" i="8" s="1"/>
  <c r="D66" i="7"/>
  <c r="F66" i="7" s="1"/>
  <c r="D65" i="7"/>
  <c r="F65" i="7" s="1"/>
  <c r="D64" i="7"/>
  <c r="F64" i="7" s="1"/>
  <c r="D63" i="7"/>
  <c r="F63" i="7" s="1"/>
  <c r="D62" i="7"/>
  <c r="F62" i="7" s="1"/>
  <c r="F61" i="7"/>
  <c r="D60" i="7"/>
  <c r="F60" i="7" s="1"/>
  <c r="D59" i="7"/>
  <c r="F59" i="7" s="1"/>
  <c r="F56" i="7"/>
  <c r="F57" i="7" s="1"/>
  <c r="D52" i="7"/>
  <c r="D53" i="7" s="1"/>
  <c r="F53" i="7" s="1"/>
  <c r="F49" i="7"/>
  <c r="F48" i="7"/>
  <c r="F47" i="7"/>
  <c r="F46" i="7"/>
  <c r="F45" i="7"/>
  <c r="F42" i="7"/>
  <c r="F40" i="7"/>
  <c r="D37" i="7"/>
  <c r="F37" i="7" s="1"/>
  <c r="D36" i="7"/>
  <c r="F36" i="7" s="1"/>
  <c r="F38" i="7" s="1"/>
  <c r="D33" i="7"/>
  <c r="F33" i="7" s="1"/>
  <c r="D32" i="7"/>
  <c r="F32" i="7" s="1"/>
  <c r="D31" i="7"/>
  <c r="F31" i="7" s="1"/>
  <c r="D30" i="7"/>
  <c r="F30" i="7" s="1"/>
  <c r="D29" i="7"/>
  <c r="F29" i="7" s="1"/>
  <c r="D28" i="7"/>
  <c r="F28" i="7" s="1"/>
  <c r="D27" i="7"/>
  <c r="F27" i="7" s="1"/>
  <c r="D26" i="7"/>
  <c r="F26" i="7" s="1"/>
  <c r="D25" i="7"/>
  <c r="F25" i="7" s="1"/>
  <c r="D24" i="7"/>
  <c r="F24" i="7" s="1"/>
  <c r="D23" i="7"/>
  <c r="F23" i="7" s="1"/>
  <c r="D18" i="7"/>
  <c r="F18" i="7" s="1"/>
  <c r="D17" i="7"/>
  <c r="D19" i="7" s="1"/>
  <c r="F16" i="7"/>
  <c r="F15" i="7"/>
  <c r="F72" i="9" l="1"/>
  <c r="F42" i="8"/>
  <c r="F13" i="7"/>
  <c r="F43" i="7"/>
  <c r="F27" i="8"/>
  <c r="F50" i="7"/>
  <c r="F56" i="9"/>
  <c r="F60" i="9"/>
  <c r="F22" i="8"/>
  <c r="F48" i="8" s="1"/>
  <c r="C8" i="10" s="1"/>
  <c r="F67" i="9"/>
  <c r="F46" i="9"/>
  <c r="F52" i="9"/>
  <c r="F20" i="9"/>
  <c r="F67" i="7"/>
  <c r="F34" i="7"/>
  <c r="D20" i="7"/>
  <c r="F20" i="7" s="1"/>
  <c r="F19" i="7"/>
  <c r="F52" i="7"/>
  <c r="F54" i="7" s="1"/>
  <c r="F17" i="7"/>
  <c r="D32" i="9"/>
  <c r="F32" i="9" s="1"/>
  <c r="F41" i="9" s="1"/>
  <c r="F21" i="7" l="1"/>
  <c r="F68" i="7" s="1"/>
  <c r="F73" i="9"/>
  <c r="C9" i="10" s="1"/>
  <c r="F49" i="8"/>
  <c r="F50" i="8" s="1"/>
  <c r="C7" i="10" l="1"/>
  <c r="C10" i="10" s="1"/>
  <c r="C11" i="10" s="1"/>
  <c r="C12" i="10" s="1"/>
  <c r="F74" i="9"/>
  <c r="F75" i="9" s="1"/>
  <c r="F78" i="9"/>
  <c r="F69" i="7"/>
  <c r="F70" i="7" s="1"/>
</calcChain>
</file>

<file path=xl/sharedStrings.xml><?xml version="1.0" encoding="utf-8"?>
<sst xmlns="http://schemas.openxmlformats.org/spreadsheetml/2006/main" count="685" uniqueCount="250">
  <si>
    <t xml:space="preserve">Total  TTC </t>
  </si>
  <si>
    <t>TVA (18%)</t>
  </si>
  <si>
    <t xml:space="preserve">Total  HT  </t>
  </si>
  <si>
    <t>Sous total X</t>
  </si>
  <si>
    <t>U</t>
  </si>
  <si>
    <t>Fourniture et pose d'interrupteur simple allumage étanche</t>
  </si>
  <si>
    <t>10.3</t>
  </si>
  <si>
    <t>Ens</t>
  </si>
  <si>
    <t>Fourniture et pose de reglette de 60</t>
  </si>
  <si>
    <t>10.2</t>
  </si>
  <si>
    <t>Ensemble- cablage- gaine - et toutes suggestions</t>
  </si>
  <si>
    <t>10.1</t>
  </si>
  <si>
    <t>ELECTRICITE</t>
  </si>
  <si>
    <t>X</t>
  </si>
  <si>
    <t>Sous total IX</t>
  </si>
  <si>
    <t>ml</t>
  </si>
  <si>
    <t xml:space="preserve">Fourniture et pose d'étanchéité </t>
  </si>
  <si>
    <t>9.3</t>
  </si>
  <si>
    <t xml:space="preserve">Fourniture et pose de tole bac galva de 35/100 plus feutre bitumineux et toutes suggestions </t>
  </si>
  <si>
    <t>9.2</t>
  </si>
  <si>
    <t>Fourniture et pose du tubes carrés de 50</t>
  </si>
  <si>
    <t>9.1</t>
  </si>
  <si>
    <t>CHARPENTE-COUVERTURE</t>
  </si>
  <si>
    <t>IX</t>
  </si>
  <si>
    <t>Sous total VIII</t>
  </si>
  <si>
    <t>Fourniture et pose WC et toutes suggetions</t>
  </si>
  <si>
    <t xml:space="preserve">Fourniture et pose urinoir et toutes suggestions </t>
  </si>
  <si>
    <t>PLOMBERIE</t>
  </si>
  <si>
    <t xml:space="preserve"> VIII</t>
  </si>
  <si>
    <t>Sous total VII</t>
  </si>
  <si>
    <t>m2</t>
  </si>
  <si>
    <t>Fourniture et pose de carreaux anti-dérapant pour le sol</t>
  </si>
  <si>
    <t>7.2</t>
  </si>
  <si>
    <t>Fourniture et pose de carreaux faience pour revêtement mural h:1,60m</t>
  </si>
  <si>
    <t>7.1</t>
  </si>
  <si>
    <t>REVETEMENT-CARRELAGE</t>
  </si>
  <si>
    <t>VII</t>
  </si>
  <si>
    <t>Sous total VI</t>
  </si>
  <si>
    <t>Fourniture et pose de portes métalliques persiennées de 0.80 x 0.80 m</t>
  </si>
  <si>
    <t>6.3</t>
  </si>
  <si>
    <t xml:space="preserve">Fourniture et pose de portes métalliques du type va-et-vient de 0,90x2 m </t>
  </si>
  <si>
    <t>6.2</t>
  </si>
  <si>
    <t xml:space="preserve">Fourniture et pose de portes métalliques de 0,80 x 2 </t>
  </si>
  <si>
    <t>6.1</t>
  </si>
  <si>
    <t>MENUISERIE METALLIQUE</t>
  </si>
  <si>
    <t>VI</t>
  </si>
  <si>
    <t>Sous total V</t>
  </si>
  <si>
    <t xml:space="preserve">Fourniture et pose de barre de soutien en tube rond de 40 </t>
  </si>
  <si>
    <t>5.3</t>
  </si>
  <si>
    <t>5.2</t>
  </si>
  <si>
    <t>Fourniture et pose de garde-fou en tube métallique rond de 40</t>
  </si>
  <si>
    <t>5.1</t>
  </si>
  <si>
    <r>
      <t xml:space="preserve"> </t>
    </r>
    <r>
      <rPr>
        <b/>
        <u/>
        <sz val="11"/>
        <color indexed="8"/>
        <rFont val="Century Gothic"/>
        <family val="2"/>
      </rPr>
      <t>Aménagement  cabine PMR</t>
    </r>
    <r>
      <rPr>
        <b/>
        <sz val="11"/>
        <color indexed="8"/>
        <rFont val="Century Gothic"/>
        <family val="2"/>
      </rPr>
      <t xml:space="preserve"> </t>
    </r>
  </si>
  <si>
    <t xml:space="preserve"> V </t>
  </si>
  <si>
    <t>Sous total IV</t>
  </si>
  <si>
    <t>Ens.</t>
  </si>
  <si>
    <t>Remblai de protection de soubassement</t>
  </si>
  <si>
    <t>4.17</t>
  </si>
  <si>
    <t>Fourniture et pose de tuyau PVC 75</t>
  </si>
  <si>
    <t>4.16</t>
  </si>
  <si>
    <t>ens.</t>
  </si>
  <si>
    <t>Fourniture et pose de moellons (cailloux sauvages) pour protection des parois du puisard</t>
  </si>
  <si>
    <t>4.15</t>
  </si>
  <si>
    <t>Fourniture et pose de grillage anti-mouches</t>
  </si>
  <si>
    <t>4.14</t>
  </si>
  <si>
    <t>Chape au mortier légèrement lissée</t>
  </si>
  <si>
    <t>4.13</t>
  </si>
  <si>
    <t>m3</t>
  </si>
  <si>
    <t>Béton de dallage dosé à 250kg/m3 ep = 10 cm</t>
  </si>
  <si>
    <t>4.12</t>
  </si>
  <si>
    <t>Remblai compacté hauteur = 30 cm</t>
  </si>
  <si>
    <t>4.11</t>
  </si>
  <si>
    <t xml:space="preserve">Enduit tyrolien  exterieurs y compris les tuyaux de ventilation </t>
  </si>
  <si>
    <t>4.10</t>
  </si>
  <si>
    <t xml:space="preserve">Enduit tyrolien interieur  </t>
  </si>
  <si>
    <t>4.9</t>
  </si>
  <si>
    <t>Enduit taloché pour cabine et tuyau de ventilation interieur et exterieur</t>
  </si>
  <si>
    <t>4.8</t>
  </si>
  <si>
    <t xml:space="preserve">Fourniture et pose de colonne de ventilation </t>
  </si>
  <si>
    <t>4.7</t>
  </si>
  <si>
    <t>m1</t>
  </si>
  <si>
    <t>Maçonnerie de briques creuses de 15*20*40 pour cabine</t>
  </si>
  <si>
    <t>4.5</t>
  </si>
  <si>
    <t>Maçonnerie de briques pleines de 15*20*40 pour soubassement du muret</t>
  </si>
  <si>
    <t>4.4</t>
  </si>
  <si>
    <t>Béton armé pour raidisseurs du muret dosé à 350 Kg/m3 de section (0,15*0,15 m)</t>
  </si>
  <si>
    <t>4.3</t>
  </si>
  <si>
    <t>Béton ordinaire pour fondation du muret dosé à 250kg/m3 prof = 0,20 m ; larg = 0,25 + prolongation mur d'intimité</t>
  </si>
  <si>
    <t>4.2</t>
  </si>
  <si>
    <t>Fouille en rigole pour fondation du muret prof = 0.30 m ; larg = 25 cm</t>
  </si>
  <si>
    <t>4.1</t>
  </si>
  <si>
    <t xml:space="preserve"> Travaux maconnerie </t>
  </si>
  <si>
    <t>IV</t>
  </si>
  <si>
    <t>Sous total III</t>
  </si>
  <si>
    <t xml:space="preserve">Béton armé dosé à 350kg/m3 ep=0,12 m </t>
  </si>
  <si>
    <t>2.1</t>
  </si>
  <si>
    <r>
      <t xml:space="preserve"> </t>
    </r>
    <r>
      <rPr>
        <b/>
        <u/>
        <sz val="11"/>
        <color indexed="63"/>
        <rFont val="Century Gothic"/>
        <family val="2"/>
      </rPr>
      <t xml:space="preserve">Travaux dalles de la fosse et du puisard </t>
    </r>
  </si>
  <si>
    <t>III</t>
  </si>
  <si>
    <t>Sous total II</t>
  </si>
  <si>
    <t>Enduit étanche pour mur de séparation dosé à 400kg/m3</t>
  </si>
  <si>
    <t>2.8</t>
  </si>
  <si>
    <t>Maçonnerie de briques pleine de 15 pour fosses</t>
  </si>
  <si>
    <t>2.7</t>
  </si>
  <si>
    <t>Beton armé pour chainage haut y compris longrine dosé à 350kg/m3 section (0,20*0,15m)</t>
  </si>
  <si>
    <t>2.6</t>
  </si>
  <si>
    <t>Beton armé pour semelles filante dosé à 350 kg/m3, section (0,30*0,15)</t>
  </si>
  <si>
    <t>2.5</t>
  </si>
  <si>
    <t>Beton armé pour poteaux dosé à 350 kg/m3 , section (0,15*0,15m)</t>
  </si>
  <si>
    <t>2.4</t>
  </si>
  <si>
    <t>Béton de propreté pour fosse  dosé à 150kg/m3 prof= 0,05 m ; larg = 20 cm</t>
  </si>
  <si>
    <t>2.3</t>
  </si>
  <si>
    <t>Fouille en rigole pour fondation de la fosse prof = 20 cm ; larg = 25 cm</t>
  </si>
  <si>
    <t>2.2</t>
  </si>
  <si>
    <t xml:space="preserve">Fouille en excavation pour fosses de latrines et puisard avec surlargeur de 15 cm </t>
  </si>
  <si>
    <t>TRAVAUX DE LA SOUS STRUCTURE</t>
  </si>
  <si>
    <t>II</t>
  </si>
  <si>
    <t>Sous total I</t>
  </si>
  <si>
    <t>Implantation,Décapage, nettoyage et nivellement</t>
  </si>
  <si>
    <t>1.1</t>
  </si>
  <si>
    <t>TERRASSEMENT</t>
  </si>
  <si>
    <t>I</t>
  </si>
  <si>
    <t>P. TOTAL</t>
  </si>
  <si>
    <t>P. UNIT.</t>
  </si>
  <si>
    <t>QUANTITE</t>
  </si>
  <si>
    <t>UNIT.</t>
  </si>
  <si>
    <t>DESIGNATION DES OUVRAGES</t>
  </si>
  <si>
    <t>N°</t>
  </si>
  <si>
    <t>LATRINES</t>
  </si>
  <si>
    <t xml:space="preserve">Total  HT </t>
  </si>
  <si>
    <t>Sous Total VIII</t>
  </si>
  <si>
    <t>8.8</t>
  </si>
  <si>
    <t xml:space="preserve">Fourniture et pose de faitière </t>
  </si>
  <si>
    <t>8.7</t>
  </si>
  <si>
    <t xml:space="preserve">Fourniture et pose de bardage métallique </t>
  </si>
  <si>
    <t>8.6</t>
  </si>
  <si>
    <t>Fourniture et pose de tole bac galva de 35/100 plus feutre bitumineux et toutes sujestions de pose</t>
  </si>
  <si>
    <t>8.5</t>
  </si>
  <si>
    <t>Fourniture et pose de contreventement en cornière de 50 et toutes sujestions de pose</t>
  </si>
  <si>
    <t>8.4</t>
  </si>
  <si>
    <t>u</t>
  </si>
  <si>
    <t xml:space="preserve">Platine pour poteaux en bétonet </t>
  </si>
  <si>
    <t>8.3</t>
  </si>
  <si>
    <t>Fourniture et pose IPN de 80</t>
  </si>
  <si>
    <t>8.2</t>
  </si>
  <si>
    <t>Fourniture et pose de ferme en assemblage de cornière lourd de 50 et toutes sujestions</t>
  </si>
  <si>
    <t>8.1</t>
  </si>
  <si>
    <t>VIII</t>
  </si>
  <si>
    <t xml:space="preserve">Fourniture et pose faux plafond en contre plaqué de 5 mm </t>
  </si>
  <si>
    <t>MENUSERIE BOIS</t>
  </si>
  <si>
    <t>Fourniture et application Peinture 1er choix sur murs sur élements de structure</t>
  </si>
  <si>
    <t>Fourniture et application de Badigeon a la chaux- vive sur élement de structure</t>
  </si>
  <si>
    <t>PEINTURE</t>
  </si>
  <si>
    <t>Fourniture et pose de prise de courant 2P+T</t>
  </si>
  <si>
    <t>5.4</t>
  </si>
  <si>
    <t>Fourniture et pose d'interrupteur simple allumage</t>
  </si>
  <si>
    <t>Fourniture et pose de brasseurs d'air plus réosthat</t>
  </si>
  <si>
    <t>Fourniture et pose de reglettes de 120</t>
  </si>
  <si>
    <t>Ensemble- cablage- gaine - et toutes sujetions</t>
  </si>
  <si>
    <t>V</t>
  </si>
  <si>
    <t>Fourniture et pose Imposte de 2.00 x 1.30 m</t>
  </si>
  <si>
    <t>Fourniture et pose de fenetres métaliques persiennées de 1.40 x 0.7 m</t>
  </si>
  <si>
    <t>Fourniture et pose de porte métaliques coulissante de 15/10 de 3.00 x 2.8 m</t>
  </si>
  <si>
    <t>Raccordement des éléments de structure</t>
  </si>
  <si>
    <t>3.2</t>
  </si>
  <si>
    <t>Maçonnerie en pierre taillé de 12x15x35 cm</t>
  </si>
  <si>
    <t>3.1</t>
  </si>
  <si>
    <t>SUPERSTRUCTURES - MACONNERIE</t>
  </si>
  <si>
    <t>Beton non armé dosé a 300 kg/m3 pour marche et rampe</t>
  </si>
  <si>
    <t>2.12</t>
  </si>
  <si>
    <t>Maçonnerie en agglos pleins de 20x20x40 cm</t>
  </si>
  <si>
    <t>2.11</t>
  </si>
  <si>
    <t>Béton légerement armé dosé à 350 kg/m3 pour aire de dallage brochardé</t>
  </si>
  <si>
    <t>2.10</t>
  </si>
  <si>
    <t>Fourniture et pose de polyane</t>
  </si>
  <si>
    <t>Lit de sable  sous dallage ep=5cm</t>
  </si>
  <si>
    <t>Béton armé à 350 kg/m3 pour chainages et allèges</t>
  </si>
  <si>
    <t xml:space="preserve">Béton armé à 350 kg/m3 pour poteaux dosé </t>
  </si>
  <si>
    <t xml:space="preserve">Béton armé à 350 kg/m3 pour longrines </t>
  </si>
  <si>
    <t xml:space="preserve">Béton armé  à 350 kg/m3 pour semelles filantes dosé </t>
  </si>
  <si>
    <t>Béton armé pour semelles isolées dosé à 350 kg/m3</t>
  </si>
  <si>
    <t>Béton de proprété dosé à 150 kg/m3</t>
  </si>
  <si>
    <t>INFRASTRUCTURES</t>
  </si>
  <si>
    <t>Remblai de terre latéritique</t>
  </si>
  <si>
    <t>1.6</t>
  </si>
  <si>
    <t>Remblai de terre provenant des fouilles</t>
  </si>
  <si>
    <t>1.5</t>
  </si>
  <si>
    <t>Fouille pour semelles filantes</t>
  </si>
  <si>
    <t>1.4</t>
  </si>
  <si>
    <t>Fouille pour semelles isolées</t>
  </si>
  <si>
    <t>1.3</t>
  </si>
  <si>
    <t>Implantation</t>
  </si>
  <si>
    <t>1.2</t>
  </si>
  <si>
    <t>Décapage, nettoyage et nivellement</t>
  </si>
  <si>
    <t>MAGASIN DE STOCKAGE</t>
  </si>
  <si>
    <t>Total  TTC</t>
  </si>
  <si>
    <t xml:space="preserve">Total  General en HT  </t>
  </si>
  <si>
    <t>PM</t>
  </si>
  <si>
    <t>Fourniture et application de Peinture marmorex 1er choix sur murs extérieurs</t>
  </si>
  <si>
    <t>7.3</t>
  </si>
  <si>
    <t>Fourniture et application de Peinture foam lavable 1er choix sur murs intérieurs</t>
  </si>
  <si>
    <t>Fourniture et application de Badigeon à la chaux- vive sur mur 1er choix</t>
  </si>
  <si>
    <t xml:space="preserve">Fourniture et pose  tole bac galva de 35/100 plus feutre bitumineux </t>
  </si>
  <si>
    <t>6.5</t>
  </si>
  <si>
    <t>6.4</t>
  </si>
  <si>
    <t xml:space="preserve">Fourniture et pose de platine </t>
  </si>
  <si>
    <t xml:space="preserve">Fourniture et pose de tube carré lourd de 60 </t>
  </si>
  <si>
    <t xml:space="preserve">Fourniture et pose reglette de 120 </t>
  </si>
  <si>
    <t>5.6</t>
  </si>
  <si>
    <t>Fourniture et pose de prise de courant</t>
  </si>
  <si>
    <t>5.5</t>
  </si>
  <si>
    <t>Fourniture et pose d'interrupteurs</t>
  </si>
  <si>
    <t>Fourniture et pose de climatiseur 2.5 cv</t>
  </si>
  <si>
    <t>Fourniture et pose de brasseurs d'air</t>
  </si>
  <si>
    <t>Ensemble- cablage- gaine - et toutes suggetions</t>
  </si>
  <si>
    <t>Faux plafond contré plaqué de 5 mm cadre 60x60 cm</t>
  </si>
  <si>
    <t>Fenetres métaliques persiennées de 1.6 x 1.2 m</t>
  </si>
  <si>
    <t xml:space="preserve">Fourniture et pose de portes métalliques persiennée de 1.4*2.20 m </t>
  </si>
  <si>
    <t>MENUISERIE METALLIQUE ET BOIS</t>
  </si>
  <si>
    <t>3.5</t>
  </si>
  <si>
    <t>3.4</t>
  </si>
  <si>
    <t>Enduit extérieur-intérieur</t>
  </si>
  <si>
    <t>3.3</t>
  </si>
  <si>
    <t>Maçonnerie en agglo creux de 15x20x40 cm</t>
  </si>
  <si>
    <t>Dépôt de murs d'élevation</t>
  </si>
  <si>
    <t>DEPOT DE MUR D'ELEVATION</t>
  </si>
  <si>
    <t>Remblai d'apport de terre latéritique compactée</t>
  </si>
  <si>
    <t>Nettoyage et nivellement</t>
  </si>
  <si>
    <t>SALLE DE REUNION</t>
  </si>
  <si>
    <t>Travaux de réhabilitation et d’extension d’une unité de stockage d’oignons à Korsimoro</t>
  </si>
  <si>
    <t>1- CADRE DE DEVIS QUANTITATIF ET ESTIMATIF- MAGASIN DE STOCKAGE</t>
  </si>
  <si>
    <t>2- CADRE DE DEVIS QUANTITATIF ET ESTIMATIF- SALLE DE REUNION</t>
  </si>
  <si>
    <t>3- CADRE DE DEVIS QUANTITATIF ET ESTIMATIF- LATRINES</t>
  </si>
  <si>
    <t>RECAPITULATIF</t>
  </si>
  <si>
    <t>TOTAL GENERAL MAGASIN DE STOCKAGE</t>
  </si>
  <si>
    <t>TOTAL GENERAL SALLE DE REUNION</t>
  </si>
  <si>
    <t>TOTAL GENERAL LATRINES</t>
  </si>
  <si>
    <t>Arrêté le présent devis à la somme de    …....................    ( xxxxxxxx)  Francs CFA HT</t>
  </si>
  <si>
    <t>Montant en lettres</t>
  </si>
  <si>
    <t>2- CADRE DU BORDEREAU DES PRIX UNITAIRES- SALLE DE REUNION</t>
  </si>
  <si>
    <t>1- CADRE DU BORDEREAU DES PRIX UNITAIRES- MAGASIN DE STOCKAGE</t>
  </si>
  <si>
    <t>0.1</t>
  </si>
  <si>
    <t>0.2</t>
  </si>
  <si>
    <t>Installation du chantier</t>
  </si>
  <si>
    <t>FF</t>
  </si>
  <si>
    <t>Amenée et repli du matériel</t>
  </si>
  <si>
    <t>0.3</t>
  </si>
  <si>
    <t>Elaboration du dossier d'exécution et du dossier de recollement</t>
  </si>
  <si>
    <t>Sous total 0</t>
  </si>
  <si>
    <t>0</t>
  </si>
  <si>
    <r>
      <t xml:space="preserve">AMENEE, INSTALLATION, REPLI, DOSSIERS D'EXECUTION ET DE RECOLLEMENT
</t>
    </r>
    <r>
      <rPr>
        <sz val="11"/>
        <color rgb="FF333333"/>
        <rFont val="Century Gothic"/>
        <family val="2"/>
      </rPr>
      <t xml:space="preserve">(Cette rubrique N° </t>
    </r>
    <r>
      <rPr>
        <b/>
        <sz val="11"/>
        <color rgb="FF333333"/>
        <rFont val="Century Gothic"/>
        <family val="2"/>
      </rPr>
      <t>0</t>
    </r>
    <r>
      <rPr>
        <sz val="11"/>
        <color rgb="FF333333"/>
        <rFont val="Century Gothic"/>
        <family val="2"/>
      </rPr>
      <t xml:space="preserve"> s'applique à l'ensemble du chantier: Magasin de stockage, Salle de réunion et Latrines)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</si>
</sst>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-;\-* #,##0.00\ _F_-;_-* &quot;-&quot;??\ _F_-;_-@_-"/>
    <numFmt numFmtId="165" formatCode="_-* #,##0\ _F_-;\-* #,##0\ _F_-;_-* &quot;-&quot;??\ _F_-;_-@_-"/>
    <numFmt numFmtId="166" formatCode="_-* #,##0\ _F_-;\-* #,##0\ _F_-;_-* &quot;-&quot;\ _F_-;_-@_-"/>
  </numFmts>
  <fonts count="31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1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b/>
      <sz val="11"/>
      <color indexed="63"/>
      <name val="Century Gothic"/>
      <family val="2"/>
    </font>
    <font>
      <b/>
      <i/>
      <sz val="11"/>
      <color indexed="63"/>
      <name val="Century Gothic"/>
      <family val="2"/>
    </font>
    <font>
      <sz val="11"/>
      <color indexed="63"/>
      <name val="Century Gothic"/>
      <family val="2"/>
    </font>
    <font>
      <sz val="11"/>
      <name val="Arial"/>
      <family val="2"/>
    </font>
    <font>
      <b/>
      <u/>
      <sz val="11"/>
      <color indexed="63"/>
      <name val="Century Gothic"/>
      <family val="2"/>
    </font>
    <font>
      <sz val="14"/>
      <color rgb="FF000000"/>
      <name val="Rockwell"/>
      <family val="1"/>
    </font>
    <font>
      <sz val="11"/>
      <color indexed="63"/>
      <name val="Times New Roman"/>
      <family val="1"/>
    </font>
    <font>
      <b/>
      <sz val="11"/>
      <color indexed="63"/>
      <name val="Times New Roman"/>
      <family val="1"/>
    </font>
    <font>
      <b/>
      <sz val="11"/>
      <color indexed="8"/>
      <name val="Century Gothic"/>
      <family val="2"/>
    </font>
    <font>
      <b/>
      <sz val="11"/>
      <color rgb="FF000000"/>
      <name val="Century Gothic"/>
      <family val="2"/>
    </font>
    <font>
      <sz val="11"/>
      <color rgb="FF333333"/>
      <name val="Century Gothic"/>
      <family val="2"/>
    </font>
    <font>
      <sz val="10"/>
      <name val="Century Gothic"/>
      <family val="2"/>
    </font>
    <font>
      <sz val="11"/>
      <color rgb="FF000000"/>
      <name val="Century Gothic"/>
      <family val="2"/>
    </font>
    <font>
      <b/>
      <u/>
      <sz val="11"/>
      <color rgb="FF000000"/>
      <name val="Century Gothic"/>
      <family val="2"/>
    </font>
    <font>
      <sz val="11"/>
      <color theme="1"/>
      <name val="Century Gothic"/>
      <family val="2"/>
    </font>
    <font>
      <b/>
      <u/>
      <sz val="11"/>
      <color indexed="8"/>
      <name val="Century Gothic"/>
      <family val="2"/>
    </font>
    <font>
      <b/>
      <sz val="14"/>
      <color rgb="FF000000"/>
      <name val="Rockwell"/>
      <family val="1"/>
    </font>
    <font>
      <b/>
      <sz val="10"/>
      <color indexed="63"/>
      <name val="Century Gothic"/>
      <family val="2"/>
    </font>
    <font>
      <b/>
      <sz val="12"/>
      <color indexed="63"/>
      <name val="Times New Roman"/>
      <family val="1"/>
    </font>
    <font>
      <b/>
      <sz val="16"/>
      <color indexed="63"/>
      <name val="Century Gothic"/>
      <family val="2"/>
    </font>
    <font>
      <b/>
      <u/>
      <sz val="11"/>
      <color rgb="FF333333"/>
      <name val="Century Gothic"/>
      <family val="2"/>
    </font>
    <font>
      <b/>
      <i/>
      <sz val="11"/>
      <name val="Century Gothic"/>
      <family val="2"/>
    </font>
    <font>
      <sz val="10"/>
      <color indexed="63"/>
      <name val="Century Gothic"/>
      <family val="2"/>
    </font>
    <font>
      <sz val="12"/>
      <color theme="1"/>
      <name val="Arial Narrow"/>
      <family val="2"/>
    </font>
    <font>
      <b/>
      <sz val="11"/>
      <color rgb="FF333333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" fillId="0" borderId="0" applyFont="0" applyFill="0" applyBorder="0" applyAlignment="0" applyProtection="0"/>
  </cellStyleXfs>
  <cellXfs count="183">
    <xf numFmtId="0" fontId="0" fillId="0" borderId="0" xfId="0"/>
    <xf numFmtId="0" fontId="0" fillId="0" borderId="0" xfId="0" applyAlignment="1">
      <alignment horizontal="center"/>
    </xf>
    <xf numFmtId="2" fontId="0" fillId="0" borderId="0" xfId="1" applyNumberFormat="1" applyFont="1" applyBorder="1"/>
    <xf numFmtId="49" fontId="2" fillId="0" borderId="0" xfId="0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center" vertical="center"/>
    </xf>
    <xf numFmtId="2" fontId="4" fillId="0" borderId="0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center" vertical="center"/>
    </xf>
    <xf numFmtId="2" fontId="6" fillId="0" borderId="0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 wrapText="1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165" fontId="8" fillId="0" borderId="0" xfId="1" applyNumberFormat="1" applyFont="1" applyBorder="1" applyAlignment="1">
      <alignment horizontal="center" vertical="center" wrapText="1"/>
    </xf>
    <xf numFmtId="166" fontId="4" fillId="0" borderId="0" xfId="2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49" fontId="8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8" fillId="0" borderId="0" xfId="1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2" fontId="4" fillId="0" borderId="0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5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2" fontId="8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 wrapText="1"/>
    </xf>
    <xf numFmtId="49" fontId="8" fillId="0" borderId="1" xfId="0" applyNumberFormat="1" applyFont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/>
    </xf>
    <xf numFmtId="165" fontId="8" fillId="0" borderId="1" xfId="1" applyNumberFormat="1" applyFont="1" applyBorder="1" applyAlignment="1">
      <alignment vertical="center"/>
    </xf>
    <xf numFmtId="165" fontId="8" fillId="0" borderId="1" xfId="1" applyNumberFormat="1" applyFont="1" applyBorder="1" applyAlignment="1">
      <alignment horizontal="center" vertical="center"/>
    </xf>
    <xf numFmtId="164" fontId="8" fillId="0" borderId="1" xfId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164" fontId="17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/>
    </xf>
    <xf numFmtId="165" fontId="3" fillId="0" borderId="1" xfId="3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164" fontId="8" fillId="0" borderId="1" xfId="1" applyFont="1" applyBorder="1" applyAlignment="1">
      <alignment horizontal="center" vertical="center" wrapText="1"/>
    </xf>
    <xf numFmtId="165" fontId="4" fillId="0" borderId="1" xfId="3" applyNumberFormat="1" applyFont="1" applyBorder="1" applyAlignment="1">
      <alignment vertical="center"/>
    </xf>
    <xf numFmtId="166" fontId="4" fillId="0" borderId="1" xfId="2" applyFont="1" applyBorder="1" applyAlignment="1">
      <alignment horizontal="center" vertical="center"/>
    </xf>
    <xf numFmtId="165" fontId="7" fillId="0" borderId="1" xfId="1" applyNumberFormat="1" applyFont="1" applyBorder="1" applyAlignment="1">
      <alignment vertical="center"/>
    </xf>
    <xf numFmtId="164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166" fontId="3" fillId="0" borderId="0" xfId="2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 wrapText="1"/>
    </xf>
    <xf numFmtId="166" fontId="3" fillId="0" borderId="1" xfId="2" applyFont="1" applyBorder="1" applyAlignment="1">
      <alignment horizontal="center" vertical="center"/>
    </xf>
    <xf numFmtId="166" fontId="4" fillId="0" borderId="2" xfId="2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 wrapText="1"/>
    </xf>
    <xf numFmtId="165" fontId="3" fillId="0" borderId="1" xfId="1" applyNumberFormat="1" applyFont="1" applyBorder="1" applyAlignment="1">
      <alignment vertical="center"/>
    </xf>
    <xf numFmtId="165" fontId="3" fillId="0" borderId="1" xfId="1" applyNumberFormat="1" applyFont="1" applyBorder="1" applyAlignment="1">
      <alignment horizontal="center" vertical="center"/>
    </xf>
    <xf numFmtId="164" fontId="4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5" fillId="2" borderId="1" xfId="0" applyFont="1" applyFill="1" applyBorder="1" applyAlignment="1">
      <alignment horizontal="left" vertical="center" wrapText="1"/>
    </xf>
    <xf numFmtId="2" fontId="22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165" fontId="8" fillId="0" borderId="1" xfId="1" applyNumberFormat="1" applyFont="1" applyBorder="1" applyAlignment="1">
      <alignment horizontal="center" vertical="center" wrapText="1"/>
    </xf>
    <xf numFmtId="166" fontId="4" fillId="0" borderId="1" xfId="2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5" fontId="20" fillId="0" borderId="3" xfId="1" applyNumberFormat="1" applyFont="1" applyBorder="1" applyAlignment="1">
      <alignment horizontal="center" vertical="center"/>
    </xf>
    <xf numFmtId="166" fontId="20" fillId="0" borderId="1" xfId="2" applyFont="1" applyBorder="1" applyAlignment="1">
      <alignment horizontal="center" vertical="center"/>
    </xf>
    <xf numFmtId="2" fontId="20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left" vertical="center" wrapText="1"/>
    </xf>
    <xf numFmtId="2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/>
    </xf>
    <xf numFmtId="2" fontId="6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/>
    </xf>
    <xf numFmtId="2" fontId="23" fillId="0" borderId="1" xfId="1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2" fillId="0" borderId="0" xfId="0" applyFont="1"/>
    <xf numFmtId="0" fontId="8" fillId="0" borderId="0" xfId="0" applyFont="1" applyAlignment="1">
      <alignment horizontal="center"/>
    </xf>
    <xf numFmtId="2" fontId="8" fillId="0" borderId="0" xfId="1" applyNumberFormat="1" applyFont="1" applyBorder="1"/>
    <xf numFmtId="0" fontId="8" fillId="0" borderId="0" xfId="0" applyFont="1"/>
    <xf numFmtId="49" fontId="8" fillId="0" borderId="0" xfId="0" applyNumberFormat="1" applyFont="1"/>
    <xf numFmtId="0" fontId="12" fillId="0" borderId="0" xfId="0" applyFont="1" applyAlignment="1">
      <alignment horizontal="center"/>
    </xf>
    <xf numFmtId="2" fontId="12" fillId="0" borderId="0" xfId="1" applyNumberFormat="1" applyFont="1" applyBorder="1"/>
    <xf numFmtId="49" fontId="12" fillId="0" borderId="0" xfId="0" applyNumberFormat="1" applyFont="1"/>
    <xf numFmtId="164" fontId="0" fillId="0" borderId="0" xfId="1" applyFont="1"/>
    <xf numFmtId="165" fontId="14" fillId="0" borderId="1" xfId="0" applyNumberFormat="1" applyFont="1" applyBorder="1" applyAlignment="1">
      <alignment vertical="center"/>
    </xf>
    <xf numFmtId="165" fontId="6" fillId="0" borderId="1" xfId="1" applyNumberFormat="1" applyFont="1" applyBorder="1" applyAlignment="1">
      <alignment vertical="center"/>
    </xf>
    <xf numFmtId="49" fontId="4" fillId="0" borderId="1" xfId="0" applyNumberFormat="1" applyFont="1" applyBorder="1"/>
    <xf numFmtId="0" fontId="26" fillId="0" borderId="1" xfId="0" applyFont="1" applyBorder="1" applyAlignment="1">
      <alignment horizontal="left" vertical="center" wrapText="1"/>
    </xf>
    <xf numFmtId="164" fontId="3" fillId="0" borderId="1" xfId="1" applyFont="1" applyBorder="1" applyAlignment="1">
      <alignment horizontal="center" vertical="center"/>
    </xf>
    <xf numFmtId="0" fontId="27" fillId="0" borderId="1" xfId="0" applyFont="1" applyBorder="1" applyAlignment="1">
      <alignment horizontal="right" vertical="center" wrapText="1"/>
    </xf>
    <xf numFmtId="49" fontId="17" fillId="0" borderId="1" xfId="0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vertical="center"/>
    </xf>
    <xf numFmtId="165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vertical="center"/>
    </xf>
    <xf numFmtId="165" fontId="8" fillId="0" borderId="1" xfId="1" applyNumberFormat="1" applyFont="1" applyBorder="1" applyAlignment="1">
      <alignment vertical="center" wrapText="1"/>
    </xf>
    <xf numFmtId="164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49" fontId="8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64" fontId="23" fillId="0" borderId="1" xfId="1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164" fontId="8" fillId="0" borderId="0" xfId="1" applyFont="1"/>
    <xf numFmtId="164" fontId="12" fillId="0" borderId="0" xfId="1" applyFont="1"/>
    <xf numFmtId="0" fontId="2" fillId="0" borderId="0" xfId="0" applyFont="1"/>
    <xf numFmtId="165" fontId="14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right" vertical="center" wrapText="1"/>
    </xf>
    <xf numFmtId="164" fontId="8" fillId="0" borderId="1" xfId="1" applyFont="1" applyBorder="1" applyAlignment="1">
      <alignment vertical="center" wrapText="1"/>
    </xf>
    <xf numFmtId="49" fontId="6" fillId="0" borderId="6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 vertical="center"/>
    </xf>
    <xf numFmtId="49" fontId="29" fillId="2" borderId="7" xfId="0" applyNumberFormat="1" applyFont="1" applyFill="1" applyBorder="1" applyAlignment="1">
      <alignment horizontal="left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49" fontId="28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3" borderId="1" xfId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164" fontId="23" fillId="3" borderId="1" xfId="1" applyFont="1" applyFill="1" applyBorder="1" applyAlignment="1">
      <alignment horizontal="center" vertical="center"/>
    </xf>
    <xf numFmtId="166" fontId="4" fillId="3" borderId="1" xfId="2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/>
    </xf>
    <xf numFmtId="0" fontId="25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49" fontId="6" fillId="0" borderId="6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/>
    </xf>
    <xf numFmtId="164" fontId="23" fillId="0" borderId="1" xfId="1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/>
    </xf>
    <xf numFmtId="166" fontId="4" fillId="0" borderId="1" xfId="2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vertical="center"/>
    </xf>
  </cellXfs>
  <cellStyles count="4">
    <cellStyle name="Milliers" xfId="1" builtinId="3"/>
    <cellStyle name="Milliers [0]" xfId="2" builtinId="6"/>
    <cellStyle name="Milliers 2" xfId="3" xr:uid="{B91B9A7F-A5CD-484F-A067-14721307BB9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64B8B53-ECFF-4BB8-8721-D1993716309F}"/>
            </a:ext>
          </a:extLst>
        </xdr:cNvPr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FD7BC832-3503-45E0-9D91-5F9F35C3F325}"/>
            </a:ext>
          </a:extLst>
        </xdr:cNvPr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73EBC26-91BA-4A14-B546-685DC6DA2A82}"/>
            </a:ext>
          </a:extLst>
        </xdr:cNvPr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2DA585FE-9FA2-4C8B-90C2-C9ED44C2DE8E}"/>
            </a:ext>
          </a:extLst>
        </xdr:cNvPr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F1A67F5-039D-4D34-AB98-3604D172B1E2}"/>
            </a:ext>
          </a:extLst>
        </xdr:cNvPr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CF8D4218-ADCD-48AB-8D8F-0CEFDCBB54C4}"/>
            </a:ext>
          </a:extLst>
        </xdr:cNvPr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18BE65B-3704-4E15-8308-BDC913FB3383}"/>
            </a:ext>
          </a:extLst>
        </xdr:cNvPr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966922B3-614D-4FEC-A83B-694CE24D24F8}"/>
            </a:ext>
          </a:extLst>
        </xdr:cNvPr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DB8F56E-5BE3-480E-8597-44BC57F51F6E}"/>
            </a:ext>
          </a:extLst>
        </xdr:cNvPr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414B0D3B-8273-4A69-B6D9-3235BAE4122F}"/>
            </a:ext>
          </a:extLst>
        </xdr:cNvPr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98C7AA9-B0A5-4B05-8E10-BC7865DF2246}"/>
            </a:ext>
          </a:extLst>
        </xdr:cNvPr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78AF33DA-FEB1-4E1F-A166-A5B7D3DCB983}"/>
            </a:ext>
          </a:extLst>
        </xdr:cNvPr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0128A-6EC1-48BE-8D1C-F48FBCF5B7D5}">
  <dimension ref="A1:F70"/>
  <sheetViews>
    <sheetView tabSelected="1" view="pageBreakPreview" zoomScaleNormal="100" zoomScaleSheetLayoutView="100" workbookViewId="0">
      <selection activeCell="F11" sqref="F11"/>
    </sheetView>
  </sheetViews>
  <sheetFormatPr baseColWidth="10" defaultRowHeight="13.2" x14ac:dyDescent="0.25"/>
  <cols>
    <col min="1" max="1" width="7.44140625" style="3" customWidth="1"/>
    <col min="2" max="2" width="41.44140625" customWidth="1"/>
    <col min="3" max="3" width="5" customWidth="1"/>
    <col min="4" max="4" width="11.44140625" style="115" customWidth="1"/>
    <col min="5" max="5" width="13.109375" style="1" customWidth="1"/>
    <col min="6" max="6" width="18.33203125" customWidth="1"/>
  </cols>
  <sheetData>
    <row r="1" spans="1:6" s="107" customFormat="1" ht="6" customHeight="1" x14ac:dyDescent="0.25">
      <c r="A1" s="114"/>
      <c r="D1" s="137"/>
    </row>
    <row r="2" spans="1:6" s="107" customFormat="1" ht="4.6500000000000004" hidden="1" customHeight="1" thickBot="1" x14ac:dyDescent="0.3">
      <c r="A2" s="114"/>
      <c r="D2" s="137"/>
    </row>
    <row r="3" spans="1:6" s="107" customFormat="1" ht="9" hidden="1" customHeight="1" thickBot="1" x14ac:dyDescent="0.3">
      <c r="A3" s="111"/>
      <c r="B3" s="110"/>
      <c r="C3" s="110"/>
      <c r="D3" s="136"/>
      <c r="E3" s="110"/>
      <c r="F3" s="110"/>
    </row>
    <row r="4" spans="1:6" s="30" customFormat="1" ht="25.2" customHeight="1" x14ac:dyDescent="0.25">
      <c r="A4" s="158" t="s">
        <v>228</v>
      </c>
      <c r="B4" s="158"/>
      <c r="C4" s="158"/>
      <c r="D4" s="158"/>
      <c r="E4" s="158"/>
      <c r="F4" s="158"/>
    </row>
    <row r="5" spans="1:6" s="30" customFormat="1" ht="25.2" customHeight="1" x14ac:dyDescent="0.25">
      <c r="A5" s="159" t="s">
        <v>229</v>
      </c>
      <c r="B5" s="159"/>
      <c r="C5" s="159"/>
      <c r="D5" s="159"/>
      <c r="E5" s="159"/>
      <c r="F5" s="159"/>
    </row>
    <row r="6" spans="1:6" s="30" customFormat="1" ht="25.2" customHeight="1" x14ac:dyDescent="0.25">
      <c r="A6" s="143"/>
      <c r="B6" s="143"/>
      <c r="C6" s="143"/>
      <c r="D6" s="143"/>
      <c r="E6" s="143"/>
      <c r="F6" s="143"/>
    </row>
    <row r="7" spans="1:6" s="106" customFormat="1" ht="36.75" customHeight="1" x14ac:dyDescent="0.25">
      <c r="A7" s="160" t="s">
        <v>193</v>
      </c>
      <c r="B7" s="161"/>
      <c r="C7" s="161"/>
      <c r="D7" s="161"/>
      <c r="E7" s="161"/>
      <c r="F7" s="161"/>
    </row>
    <row r="8" spans="1:6" s="30" customFormat="1" ht="28.2" customHeight="1" x14ac:dyDescent="0.25">
      <c r="A8" s="135" t="s">
        <v>126</v>
      </c>
      <c r="B8" s="105" t="s">
        <v>125</v>
      </c>
      <c r="C8" s="103" t="s">
        <v>124</v>
      </c>
      <c r="D8" s="134" t="s">
        <v>123</v>
      </c>
      <c r="E8" s="103" t="s">
        <v>122</v>
      </c>
      <c r="F8" s="103" t="s">
        <v>121</v>
      </c>
    </row>
    <row r="9" spans="1:6" s="30" customFormat="1" ht="72.599999999999994" customHeight="1" x14ac:dyDescent="0.25">
      <c r="A9" s="168" t="s">
        <v>248</v>
      </c>
      <c r="B9" s="169" t="s">
        <v>249</v>
      </c>
      <c r="C9" s="170"/>
      <c r="D9" s="171"/>
      <c r="E9" s="170"/>
      <c r="F9" s="170"/>
    </row>
    <row r="10" spans="1:6" s="30" customFormat="1" ht="28.2" customHeight="1" x14ac:dyDescent="0.25">
      <c r="A10" s="172" t="s">
        <v>240</v>
      </c>
      <c r="B10" s="173" t="s">
        <v>244</v>
      </c>
      <c r="C10" s="174" t="s">
        <v>243</v>
      </c>
      <c r="D10" s="175">
        <v>1</v>
      </c>
      <c r="E10" s="176"/>
      <c r="F10" s="177">
        <f>E10*D10</f>
        <v>0</v>
      </c>
    </row>
    <row r="11" spans="1:6" s="30" customFormat="1" ht="28.2" customHeight="1" x14ac:dyDescent="0.25">
      <c r="A11" s="172" t="s">
        <v>241</v>
      </c>
      <c r="B11" s="178" t="s">
        <v>242</v>
      </c>
      <c r="C11" s="174" t="s">
        <v>243</v>
      </c>
      <c r="D11" s="175">
        <v>1</v>
      </c>
      <c r="E11" s="176"/>
      <c r="F11" s="177">
        <f t="shared" ref="F10:F12" si="0">E11*D11</f>
        <v>0</v>
      </c>
    </row>
    <row r="12" spans="1:6" s="30" customFormat="1" ht="28.2" customHeight="1" x14ac:dyDescent="0.25">
      <c r="A12" s="172" t="s">
        <v>245</v>
      </c>
      <c r="B12" s="178" t="s">
        <v>246</v>
      </c>
      <c r="C12" s="174" t="s">
        <v>7</v>
      </c>
      <c r="D12" s="175">
        <v>1</v>
      </c>
      <c r="E12" s="176"/>
      <c r="F12" s="177">
        <f t="shared" si="0"/>
        <v>0</v>
      </c>
    </row>
    <row r="13" spans="1:6" s="30" customFormat="1" ht="28.2" customHeight="1" x14ac:dyDescent="0.25">
      <c r="A13" s="179"/>
      <c r="B13" s="180" t="s">
        <v>247</v>
      </c>
      <c r="C13" s="181"/>
      <c r="D13" s="175"/>
      <c r="E13" s="176"/>
      <c r="F13" s="182">
        <f>SUM(F10:F12)</f>
        <v>0</v>
      </c>
    </row>
    <row r="14" spans="1:6" s="30" customFormat="1" ht="28.2" customHeight="1" x14ac:dyDescent="0.25">
      <c r="A14" s="51" t="s">
        <v>120</v>
      </c>
      <c r="B14" s="102" t="s">
        <v>119</v>
      </c>
      <c r="C14" s="35"/>
      <c r="D14" s="46"/>
      <c r="E14" s="45"/>
      <c r="F14" s="44"/>
    </row>
    <row r="15" spans="1:6" s="30" customFormat="1" ht="28.2" customHeight="1" x14ac:dyDescent="0.25">
      <c r="A15" s="37" t="s">
        <v>118</v>
      </c>
      <c r="B15" s="133" t="s">
        <v>192</v>
      </c>
      <c r="C15" s="98" t="s">
        <v>30</v>
      </c>
      <c r="D15" s="78">
        <v>216</v>
      </c>
      <c r="E15" s="56"/>
      <c r="F15" s="44">
        <f t="shared" ref="F15:F20" si="1">E15*D15</f>
        <v>0</v>
      </c>
    </row>
    <row r="16" spans="1:6" s="30" customFormat="1" ht="28.2" customHeight="1" x14ac:dyDescent="0.25">
      <c r="A16" s="37" t="s">
        <v>191</v>
      </c>
      <c r="B16" s="133" t="s">
        <v>190</v>
      </c>
      <c r="C16" s="98" t="s">
        <v>4</v>
      </c>
      <c r="D16" s="78">
        <v>1</v>
      </c>
      <c r="E16" s="44"/>
      <c r="F16" s="44">
        <f t="shared" si="1"/>
        <v>0</v>
      </c>
    </row>
    <row r="17" spans="1:6" s="30" customFormat="1" ht="28.2" customHeight="1" x14ac:dyDescent="0.25">
      <c r="A17" s="37" t="s">
        <v>189</v>
      </c>
      <c r="B17" s="133" t="s">
        <v>188</v>
      </c>
      <c r="C17" s="98" t="s">
        <v>67</v>
      </c>
      <c r="D17" s="78">
        <f>1.1*1.1*1.1*16</f>
        <v>21.296000000000006</v>
      </c>
      <c r="E17" s="56"/>
      <c r="F17" s="44">
        <f t="shared" si="1"/>
        <v>0</v>
      </c>
    </row>
    <row r="18" spans="1:6" s="30" customFormat="1" ht="28.2" customHeight="1" x14ac:dyDescent="0.25">
      <c r="A18" s="37" t="s">
        <v>187</v>
      </c>
      <c r="B18" s="133" t="s">
        <v>186</v>
      </c>
      <c r="C18" s="98" t="s">
        <v>67</v>
      </c>
      <c r="D18" s="78">
        <f>53*0.4*0.4</f>
        <v>8.4800000000000022</v>
      </c>
      <c r="E18" s="56"/>
      <c r="F18" s="44">
        <f t="shared" si="1"/>
        <v>0</v>
      </c>
    </row>
    <row r="19" spans="1:6" s="30" customFormat="1" ht="28.2" customHeight="1" x14ac:dyDescent="0.25">
      <c r="A19" s="37" t="s">
        <v>185</v>
      </c>
      <c r="B19" s="133" t="s">
        <v>184</v>
      </c>
      <c r="C19" s="98" t="s">
        <v>67</v>
      </c>
      <c r="D19" s="78">
        <f>D17+D18-(D17+D18)*0.1</f>
        <v>26.798400000000008</v>
      </c>
      <c r="E19" s="56"/>
      <c r="F19" s="44">
        <f t="shared" si="1"/>
        <v>0</v>
      </c>
    </row>
    <row r="20" spans="1:6" s="30" customFormat="1" ht="28.2" customHeight="1" x14ac:dyDescent="0.25">
      <c r="A20" s="37" t="s">
        <v>183</v>
      </c>
      <c r="B20" s="133" t="s">
        <v>182</v>
      </c>
      <c r="C20" s="98" t="s">
        <v>67</v>
      </c>
      <c r="D20" s="78">
        <f>160*0.6-D19</f>
        <v>69.201599999999985</v>
      </c>
      <c r="E20" s="56"/>
      <c r="F20" s="44">
        <f t="shared" si="1"/>
        <v>0</v>
      </c>
    </row>
    <row r="21" spans="1:6" s="30" customFormat="1" ht="28.2" customHeight="1" x14ac:dyDescent="0.25">
      <c r="A21" s="37"/>
      <c r="B21" s="36" t="s">
        <v>116</v>
      </c>
      <c r="C21" s="59"/>
      <c r="D21" s="78"/>
      <c r="E21" s="38"/>
      <c r="F21" s="117">
        <f>SUM(F15:F20)</f>
        <v>0</v>
      </c>
    </row>
    <row r="22" spans="1:6" s="31" customFormat="1" ht="28.2" customHeight="1" x14ac:dyDescent="0.25">
      <c r="A22" s="51" t="s">
        <v>115</v>
      </c>
      <c r="B22" s="99" t="s">
        <v>181</v>
      </c>
      <c r="C22" s="59"/>
      <c r="D22" s="58"/>
      <c r="E22" s="38"/>
      <c r="F22" s="117"/>
    </row>
    <row r="23" spans="1:6" s="31" customFormat="1" ht="28.2" customHeight="1" x14ac:dyDescent="0.25">
      <c r="A23" s="37">
        <v>2.1</v>
      </c>
      <c r="B23" s="49" t="s">
        <v>180</v>
      </c>
      <c r="C23" s="98" t="s">
        <v>67</v>
      </c>
      <c r="D23" s="78">
        <f>52*0.4*0.05+(1.1*1.1*0.05*16)</f>
        <v>2.008</v>
      </c>
      <c r="E23" s="56"/>
      <c r="F23" s="44">
        <f t="shared" ref="F23:F33" si="2">E23*D23</f>
        <v>0</v>
      </c>
    </row>
    <row r="24" spans="1:6" s="30" customFormat="1" ht="27.6" x14ac:dyDescent="0.25">
      <c r="A24" s="37">
        <v>2.2000000000000002</v>
      </c>
      <c r="B24" s="49" t="s">
        <v>179</v>
      </c>
      <c r="C24" s="98" t="s">
        <v>67</v>
      </c>
      <c r="D24" s="78">
        <f>1.1*1.1*0.3*16</f>
        <v>5.8080000000000007</v>
      </c>
      <c r="E24" s="56"/>
      <c r="F24" s="44">
        <f t="shared" si="2"/>
        <v>0</v>
      </c>
    </row>
    <row r="25" spans="1:6" s="31" customFormat="1" ht="27.6" x14ac:dyDescent="0.25">
      <c r="A25" s="37">
        <v>2.2999999999999998</v>
      </c>
      <c r="B25" s="49" t="s">
        <v>178</v>
      </c>
      <c r="C25" s="98" t="s">
        <v>67</v>
      </c>
      <c r="D25" s="78">
        <f>53*0.4*0.2</f>
        <v>4.2400000000000011</v>
      </c>
      <c r="E25" s="56"/>
      <c r="F25" s="44">
        <f t="shared" si="2"/>
        <v>0</v>
      </c>
    </row>
    <row r="26" spans="1:6" s="30" customFormat="1" ht="13.8" x14ac:dyDescent="0.25">
      <c r="A26" s="37">
        <v>2.4</v>
      </c>
      <c r="B26" s="49" t="s">
        <v>177</v>
      </c>
      <c r="C26" s="98" t="s">
        <v>67</v>
      </c>
      <c r="D26" s="78">
        <f>53*0.2*0.35</f>
        <v>3.7100000000000004</v>
      </c>
      <c r="E26" s="56"/>
      <c r="F26" s="44">
        <f t="shared" si="2"/>
        <v>0</v>
      </c>
    </row>
    <row r="27" spans="1:6" s="29" customFormat="1" ht="27.6" x14ac:dyDescent="0.25">
      <c r="A27" s="37">
        <v>2.5</v>
      </c>
      <c r="B27" s="49" t="s">
        <v>176</v>
      </c>
      <c r="C27" s="98" t="s">
        <v>67</v>
      </c>
      <c r="D27" s="78">
        <f>16*0.3*0.3*6.6</f>
        <v>9.5039999999999996</v>
      </c>
      <c r="E27" s="56"/>
      <c r="F27" s="44">
        <f t="shared" si="2"/>
        <v>0</v>
      </c>
    </row>
    <row r="28" spans="1:6" s="29" customFormat="1" ht="27.6" x14ac:dyDescent="0.25">
      <c r="A28" s="37">
        <v>2.6</v>
      </c>
      <c r="B28" s="49" t="s">
        <v>175</v>
      </c>
      <c r="C28" s="98" t="s">
        <v>67</v>
      </c>
      <c r="D28" s="78">
        <f>53*0.2*0.4+0.2*0.15*53</f>
        <v>5.830000000000001</v>
      </c>
      <c r="E28" s="56"/>
      <c r="F28" s="44">
        <f t="shared" si="2"/>
        <v>0</v>
      </c>
    </row>
    <row r="29" spans="1:6" s="29" customFormat="1" ht="28.2" customHeight="1" x14ac:dyDescent="0.25">
      <c r="A29" s="37">
        <v>2.7</v>
      </c>
      <c r="B29" s="49" t="s">
        <v>174</v>
      </c>
      <c r="C29" s="98" t="s">
        <v>67</v>
      </c>
      <c r="D29" s="78">
        <f>0.05*160</f>
        <v>8</v>
      </c>
      <c r="E29" s="56"/>
      <c r="F29" s="44">
        <f t="shared" si="2"/>
        <v>0</v>
      </c>
    </row>
    <row r="30" spans="1:6" s="29" customFormat="1" ht="28.2" customHeight="1" x14ac:dyDescent="0.25">
      <c r="A30" s="37">
        <v>2.8</v>
      </c>
      <c r="B30" s="49" t="s">
        <v>173</v>
      </c>
      <c r="C30" s="98" t="s">
        <v>30</v>
      </c>
      <c r="D30" s="78">
        <f>160</f>
        <v>160</v>
      </c>
      <c r="E30" s="56"/>
      <c r="F30" s="44">
        <f t="shared" si="2"/>
        <v>0</v>
      </c>
    </row>
    <row r="31" spans="1:6" ht="27.6" x14ac:dyDescent="0.25">
      <c r="A31" s="132" t="s">
        <v>172</v>
      </c>
      <c r="B31" s="49" t="s">
        <v>171</v>
      </c>
      <c r="C31" s="98" t="s">
        <v>67</v>
      </c>
      <c r="D31" s="78">
        <f>160*0.12</f>
        <v>19.2</v>
      </c>
      <c r="E31" s="56"/>
      <c r="F31" s="44">
        <f t="shared" si="2"/>
        <v>0</v>
      </c>
    </row>
    <row r="32" spans="1:6" s="25" customFormat="1" ht="27.6" x14ac:dyDescent="0.25">
      <c r="A32" s="37" t="s">
        <v>170</v>
      </c>
      <c r="B32" s="131" t="s">
        <v>169</v>
      </c>
      <c r="C32" s="130" t="s">
        <v>30</v>
      </c>
      <c r="D32" s="129">
        <f>53*0.4</f>
        <v>21.200000000000003</v>
      </c>
      <c r="E32" s="56"/>
      <c r="F32" s="128">
        <f t="shared" si="2"/>
        <v>0</v>
      </c>
    </row>
    <row r="33" spans="1:6" ht="27.6" x14ac:dyDescent="0.25">
      <c r="A33" s="37" t="s">
        <v>168</v>
      </c>
      <c r="B33" s="49" t="s">
        <v>167</v>
      </c>
      <c r="C33" s="98" t="s">
        <v>67</v>
      </c>
      <c r="D33" s="78">
        <f>3.15*3*0.1+3*0.03*0.1</f>
        <v>0.95399999999999996</v>
      </c>
      <c r="E33" s="56"/>
      <c r="F33" s="44">
        <f t="shared" si="2"/>
        <v>0</v>
      </c>
    </row>
    <row r="34" spans="1:6" ht="28.2" customHeight="1" x14ac:dyDescent="0.25">
      <c r="A34" s="127"/>
      <c r="B34" s="36" t="s">
        <v>98</v>
      </c>
      <c r="C34" s="59"/>
      <c r="D34" s="58"/>
      <c r="E34" s="38"/>
      <c r="F34" s="117">
        <f>SUM(F23:F33)</f>
        <v>0</v>
      </c>
    </row>
    <row r="35" spans="1:6" ht="28.2" customHeight="1" x14ac:dyDescent="0.25">
      <c r="A35" s="51" t="s">
        <v>97</v>
      </c>
      <c r="B35" s="99" t="s">
        <v>166</v>
      </c>
      <c r="C35" s="59"/>
      <c r="D35" s="58"/>
      <c r="E35" s="38"/>
      <c r="F35" s="117"/>
    </row>
    <row r="36" spans="1:6" s="14" customFormat="1" ht="28.2" customHeight="1" x14ac:dyDescent="0.25">
      <c r="A36" s="37" t="s">
        <v>165</v>
      </c>
      <c r="B36" s="49" t="s">
        <v>164</v>
      </c>
      <c r="C36" s="49" t="s">
        <v>30</v>
      </c>
      <c r="D36" s="128">
        <f>53*5-(1.5*0.7*18+3.3*3)</f>
        <v>236.2</v>
      </c>
      <c r="E36" s="56"/>
      <c r="F36" s="128">
        <f>E36*D36</f>
        <v>0</v>
      </c>
    </row>
    <row r="37" spans="1:6" s="14" customFormat="1" ht="28.2" customHeight="1" x14ac:dyDescent="0.25">
      <c r="A37" s="37" t="s">
        <v>163</v>
      </c>
      <c r="B37" s="49" t="s">
        <v>162</v>
      </c>
      <c r="C37" s="49" t="s">
        <v>15</v>
      </c>
      <c r="D37" s="128">
        <f>16*4*5+53*2*2</f>
        <v>532</v>
      </c>
      <c r="E37" s="56"/>
      <c r="F37" s="128">
        <f>D37*E37</f>
        <v>0</v>
      </c>
    </row>
    <row r="38" spans="1:6" ht="28.2" customHeight="1" x14ac:dyDescent="0.25">
      <c r="A38" s="127"/>
      <c r="B38" s="36" t="s">
        <v>93</v>
      </c>
      <c r="C38" s="59"/>
      <c r="D38" s="58"/>
      <c r="E38" s="38"/>
      <c r="F38" s="117">
        <f>SUM(F36:F37)</f>
        <v>0</v>
      </c>
    </row>
    <row r="39" spans="1:6" ht="31.2" customHeight="1" x14ac:dyDescent="0.25">
      <c r="A39" s="81" t="s">
        <v>92</v>
      </c>
      <c r="B39" s="80" t="s">
        <v>44</v>
      </c>
      <c r="C39" s="79"/>
      <c r="D39" s="78"/>
      <c r="E39" s="77"/>
      <c r="F39" s="76"/>
    </row>
    <row r="40" spans="1:6" ht="27.6" x14ac:dyDescent="0.25">
      <c r="A40" s="126">
        <v>4.0999999999999996</v>
      </c>
      <c r="B40" s="125" t="s">
        <v>161</v>
      </c>
      <c r="C40" s="98" t="s">
        <v>4</v>
      </c>
      <c r="D40" s="78">
        <v>1</v>
      </c>
      <c r="E40" s="124"/>
      <c r="F40" s="123">
        <f>E40*D40</f>
        <v>0</v>
      </c>
    </row>
    <row r="41" spans="1:6" ht="27.6" x14ac:dyDescent="0.25">
      <c r="A41" s="126">
        <v>4.2</v>
      </c>
      <c r="B41" s="125" t="s">
        <v>160</v>
      </c>
      <c r="C41" s="98" t="s">
        <v>4</v>
      </c>
      <c r="D41" s="78">
        <v>18</v>
      </c>
      <c r="E41" s="124"/>
      <c r="F41" s="123">
        <f>E41*D41</f>
        <v>0</v>
      </c>
    </row>
    <row r="42" spans="1:6" ht="28.2" customHeight="1" x14ac:dyDescent="0.25">
      <c r="A42" s="126" t="s">
        <v>84</v>
      </c>
      <c r="B42" s="125" t="s">
        <v>159</v>
      </c>
      <c r="C42" s="98" t="s">
        <v>4</v>
      </c>
      <c r="D42" s="78">
        <v>6</v>
      </c>
      <c r="E42" s="124"/>
      <c r="F42" s="123">
        <f>E42*D42</f>
        <v>0</v>
      </c>
    </row>
    <row r="43" spans="1:6" ht="28.2" customHeight="1" x14ac:dyDescent="0.25">
      <c r="A43" s="122"/>
      <c r="B43" s="121" t="s">
        <v>46</v>
      </c>
      <c r="C43" s="98"/>
      <c r="D43" s="120"/>
      <c r="E43" s="77"/>
      <c r="F43" s="76">
        <f>SUM(F40:F42)</f>
        <v>0</v>
      </c>
    </row>
    <row r="44" spans="1:6" ht="28.2" customHeight="1" x14ac:dyDescent="0.25">
      <c r="A44" s="51" t="s">
        <v>158</v>
      </c>
      <c r="B44" s="50" t="s">
        <v>12</v>
      </c>
      <c r="C44" s="35"/>
      <c r="D44" s="46"/>
      <c r="E44" s="45"/>
      <c r="F44" s="44"/>
    </row>
    <row r="45" spans="1:6" ht="28.2" customHeight="1" x14ac:dyDescent="0.25">
      <c r="A45" s="37">
        <v>5.0999999999999996</v>
      </c>
      <c r="B45" s="49" t="s">
        <v>157</v>
      </c>
      <c r="C45" s="35" t="s">
        <v>7</v>
      </c>
      <c r="D45" s="48">
        <v>1</v>
      </c>
      <c r="E45" s="45"/>
      <c r="F45" s="44">
        <f>D45*E45</f>
        <v>0</v>
      </c>
    </row>
    <row r="46" spans="1:6" ht="28.2" customHeight="1" x14ac:dyDescent="0.25">
      <c r="A46" s="37" t="s">
        <v>49</v>
      </c>
      <c r="B46" s="47" t="s">
        <v>156</v>
      </c>
      <c r="C46" s="35" t="s">
        <v>4</v>
      </c>
      <c r="D46" s="46">
        <v>16</v>
      </c>
      <c r="E46" s="45"/>
      <c r="F46" s="44">
        <f>D46*E46</f>
        <v>0</v>
      </c>
    </row>
    <row r="47" spans="1:6" ht="28.2" customHeight="1" x14ac:dyDescent="0.25">
      <c r="A47" s="37" t="s">
        <v>48</v>
      </c>
      <c r="B47" s="47" t="s">
        <v>155</v>
      </c>
      <c r="C47" s="35" t="s">
        <v>4</v>
      </c>
      <c r="D47" s="46">
        <v>9</v>
      </c>
      <c r="E47" s="45"/>
      <c r="F47" s="44">
        <f>D47*E47</f>
        <v>0</v>
      </c>
    </row>
    <row r="48" spans="1:6" ht="27.6" x14ac:dyDescent="0.25">
      <c r="A48" s="37" t="s">
        <v>48</v>
      </c>
      <c r="B48" s="47" t="s">
        <v>154</v>
      </c>
      <c r="C48" s="35" t="s">
        <v>4</v>
      </c>
      <c r="D48" s="46">
        <v>4</v>
      </c>
      <c r="E48" s="45"/>
      <c r="F48" s="44">
        <f>D48*E48</f>
        <v>0</v>
      </c>
    </row>
    <row r="49" spans="1:6" ht="27.6" x14ac:dyDescent="0.25">
      <c r="A49" s="37" t="s">
        <v>153</v>
      </c>
      <c r="B49" s="47" t="s">
        <v>152</v>
      </c>
      <c r="C49" s="35" t="s">
        <v>4</v>
      </c>
      <c r="D49" s="46">
        <v>2</v>
      </c>
      <c r="E49" s="45"/>
      <c r="F49" s="44">
        <f>D49*E49</f>
        <v>0</v>
      </c>
    </row>
    <row r="50" spans="1:6" ht="28.2" customHeight="1" x14ac:dyDescent="0.25">
      <c r="A50" s="37"/>
      <c r="B50" s="36" t="s">
        <v>37</v>
      </c>
      <c r="C50" s="59"/>
      <c r="D50" s="58"/>
      <c r="E50" s="38"/>
      <c r="F50" s="117">
        <f>SUM(F45:F49)</f>
        <v>0</v>
      </c>
    </row>
    <row r="51" spans="1:6" ht="28.2" customHeight="1" x14ac:dyDescent="0.25">
      <c r="A51" s="51" t="s">
        <v>45</v>
      </c>
      <c r="B51" s="50" t="s">
        <v>151</v>
      </c>
      <c r="C51" s="35"/>
      <c r="D51" s="46"/>
      <c r="E51" s="45"/>
      <c r="F51" s="44"/>
    </row>
    <row r="52" spans="1:6" ht="28.2" customHeight="1" x14ac:dyDescent="0.25">
      <c r="A52" s="37">
        <v>6.1</v>
      </c>
      <c r="B52" s="49" t="s">
        <v>150</v>
      </c>
      <c r="C52" s="35" t="s">
        <v>30</v>
      </c>
      <c r="D52" s="46">
        <f>16*0.3*5*2+53*0.4*2</f>
        <v>90.4</v>
      </c>
      <c r="E52" s="45"/>
      <c r="F52" s="44">
        <f>D52*E52</f>
        <v>0</v>
      </c>
    </row>
    <row r="53" spans="1:6" ht="27.6" x14ac:dyDescent="0.25">
      <c r="A53" s="37">
        <v>6.2</v>
      </c>
      <c r="B53" s="49" t="s">
        <v>149</v>
      </c>
      <c r="C53" s="35" t="s">
        <v>30</v>
      </c>
      <c r="D53" s="46">
        <f>D52</f>
        <v>90.4</v>
      </c>
      <c r="E53" s="45"/>
      <c r="F53" s="44">
        <f>D53*E53</f>
        <v>0</v>
      </c>
    </row>
    <row r="54" spans="1:6" ht="28.2" customHeight="1" x14ac:dyDescent="0.25">
      <c r="A54" s="37"/>
      <c r="B54" s="36" t="s">
        <v>29</v>
      </c>
      <c r="C54" s="35"/>
      <c r="D54" s="46"/>
      <c r="E54" s="45"/>
      <c r="F54" s="117">
        <f>SUM(F52:F53)</f>
        <v>0</v>
      </c>
    </row>
    <row r="55" spans="1:6" ht="28.2" customHeight="1" x14ac:dyDescent="0.25">
      <c r="A55" s="51" t="s">
        <v>36</v>
      </c>
      <c r="B55" s="119" t="s">
        <v>148</v>
      </c>
      <c r="C55" s="59"/>
      <c r="D55" s="58"/>
      <c r="E55" s="38"/>
      <c r="F55" s="57"/>
    </row>
    <row r="56" spans="1:6" ht="27.6" x14ac:dyDescent="0.25">
      <c r="A56" s="37">
        <v>7.1</v>
      </c>
      <c r="B56" s="49" t="s">
        <v>147</v>
      </c>
      <c r="C56" s="35" t="s">
        <v>30</v>
      </c>
      <c r="D56" s="54">
        <v>160</v>
      </c>
      <c r="E56" s="53"/>
      <c r="F56" s="55">
        <f>D56*E56</f>
        <v>0</v>
      </c>
    </row>
    <row r="57" spans="1:6" ht="28.2" customHeight="1" x14ac:dyDescent="0.25">
      <c r="A57" s="37"/>
      <c r="B57" s="36" t="s">
        <v>29</v>
      </c>
      <c r="C57" s="35"/>
      <c r="D57" s="54"/>
      <c r="E57" s="53"/>
      <c r="F57" s="52">
        <f>F56</f>
        <v>0</v>
      </c>
    </row>
    <row r="58" spans="1:6" ht="28.2" customHeight="1" x14ac:dyDescent="0.25">
      <c r="A58" s="51" t="s">
        <v>146</v>
      </c>
      <c r="B58" s="50" t="s">
        <v>22</v>
      </c>
      <c r="C58" s="59"/>
      <c r="D58" s="58"/>
      <c r="E58" s="38"/>
      <c r="F58" s="57"/>
    </row>
    <row r="59" spans="1:6" ht="41.4" x14ac:dyDescent="0.25">
      <c r="A59" s="37" t="s">
        <v>145</v>
      </c>
      <c r="B59" s="49" t="s">
        <v>144</v>
      </c>
      <c r="C59" s="53" t="s">
        <v>15</v>
      </c>
      <c r="D59" s="54">
        <f>(5.48+7+3.63+1+0.65+0.9+1.42+0.3)*2*4</f>
        <v>163.04</v>
      </c>
      <c r="E59" s="53"/>
      <c r="F59" s="55">
        <f t="shared" ref="F59:F66" si="3">D59*E59</f>
        <v>0</v>
      </c>
    </row>
    <row r="60" spans="1:6" ht="28.2" customHeight="1" x14ac:dyDescent="0.25">
      <c r="A60" s="37" t="s">
        <v>143</v>
      </c>
      <c r="B60" s="49" t="s">
        <v>142</v>
      </c>
      <c r="C60" s="53" t="s">
        <v>15</v>
      </c>
      <c r="D60" s="54">
        <f>15*10</f>
        <v>150</v>
      </c>
      <c r="E60" s="53"/>
      <c r="F60" s="55">
        <f t="shared" si="3"/>
        <v>0</v>
      </c>
    </row>
    <row r="61" spans="1:6" ht="28.2" customHeight="1" x14ac:dyDescent="0.25">
      <c r="A61" s="37" t="s">
        <v>141</v>
      </c>
      <c r="B61" s="49" t="s">
        <v>140</v>
      </c>
      <c r="C61" s="53" t="s">
        <v>139</v>
      </c>
      <c r="D61" s="54">
        <v>38</v>
      </c>
      <c r="E61" s="53"/>
      <c r="F61" s="55">
        <f t="shared" si="3"/>
        <v>0</v>
      </c>
    </row>
    <row r="62" spans="1:6" ht="41.4" x14ac:dyDescent="0.25">
      <c r="A62" s="37" t="s">
        <v>138</v>
      </c>
      <c r="B62" s="49" t="s">
        <v>137</v>
      </c>
      <c r="C62" s="53" t="s">
        <v>15</v>
      </c>
      <c r="D62" s="54">
        <f>10*10.46</f>
        <v>104.60000000000001</v>
      </c>
      <c r="E62" s="53"/>
      <c r="F62" s="55">
        <f t="shared" si="3"/>
        <v>0</v>
      </c>
    </row>
    <row r="63" spans="1:6" ht="41.4" x14ac:dyDescent="0.25">
      <c r="A63" s="37" t="s">
        <v>136</v>
      </c>
      <c r="B63" s="49" t="s">
        <v>135</v>
      </c>
      <c r="C63" s="53" t="s">
        <v>30</v>
      </c>
      <c r="D63" s="54">
        <f>5.5*20*2</f>
        <v>220</v>
      </c>
      <c r="E63" s="53"/>
      <c r="F63" s="55">
        <f t="shared" si="3"/>
        <v>0</v>
      </c>
    </row>
    <row r="64" spans="1:6" ht="27.6" x14ac:dyDescent="0.25">
      <c r="A64" s="37" t="s">
        <v>134</v>
      </c>
      <c r="B64" s="49" t="s">
        <v>133</v>
      </c>
      <c r="C64" s="53" t="s">
        <v>15</v>
      </c>
      <c r="D64" s="54">
        <f>15.35*2</f>
        <v>30.7</v>
      </c>
      <c r="E64" s="53"/>
      <c r="F64" s="55">
        <f t="shared" si="3"/>
        <v>0</v>
      </c>
    </row>
    <row r="65" spans="1:6" ht="13.8" x14ac:dyDescent="0.25">
      <c r="A65" s="37" t="s">
        <v>132</v>
      </c>
      <c r="B65" s="49" t="s">
        <v>131</v>
      </c>
      <c r="C65" s="53" t="s">
        <v>15</v>
      </c>
      <c r="D65" s="54">
        <f>15</f>
        <v>15</v>
      </c>
      <c r="E65" s="53"/>
      <c r="F65" s="55">
        <f t="shared" si="3"/>
        <v>0</v>
      </c>
    </row>
    <row r="66" spans="1:6" ht="13.8" x14ac:dyDescent="0.25">
      <c r="A66" s="37" t="s">
        <v>130</v>
      </c>
      <c r="B66" s="49" t="s">
        <v>16</v>
      </c>
      <c r="C66" s="53" t="s">
        <v>15</v>
      </c>
      <c r="D66" s="54">
        <f>5.5*4*0.6</f>
        <v>13.2</v>
      </c>
      <c r="E66" s="53"/>
      <c r="F66" s="55">
        <f t="shared" si="3"/>
        <v>0</v>
      </c>
    </row>
    <row r="67" spans="1:6" ht="28.2" customHeight="1" x14ac:dyDescent="0.25">
      <c r="A67" s="118"/>
      <c r="B67" s="36" t="s">
        <v>129</v>
      </c>
      <c r="C67" s="49"/>
      <c r="D67" s="54"/>
      <c r="E67" s="49"/>
      <c r="F67" s="117">
        <f>SUM(F59:F66)</f>
        <v>0</v>
      </c>
    </row>
    <row r="68" spans="1:6" ht="28.2" customHeight="1" x14ac:dyDescent="0.25">
      <c r="A68" s="37"/>
      <c r="B68" s="36" t="s">
        <v>128</v>
      </c>
      <c r="C68" s="35"/>
      <c r="D68" s="46"/>
      <c r="E68" s="33"/>
      <c r="F68" s="116">
        <f>SUM(F13,F21,F34,F38,F43,F50,F67,F59,F54)</f>
        <v>0</v>
      </c>
    </row>
    <row r="69" spans="1:6" ht="28.2" customHeight="1" x14ac:dyDescent="0.25">
      <c r="A69" s="37"/>
      <c r="B69" s="36" t="s">
        <v>1</v>
      </c>
      <c r="C69" s="35"/>
      <c r="D69" s="46"/>
      <c r="E69" s="33"/>
      <c r="F69" s="116">
        <f>F68*0.18</f>
        <v>0</v>
      </c>
    </row>
    <row r="70" spans="1:6" ht="28.2" customHeight="1" x14ac:dyDescent="0.25">
      <c r="A70" s="37"/>
      <c r="B70" s="36" t="s">
        <v>0</v>
      </c>
      <c r="C70" s="35"/>
      <c r="D70" s="46"/>
      <c r="E70" s="33"/>
      <c r="F70" s="116">
        <f>F68+F69</f>
        <v>0</v>
      </c>
    </row>
  </sheetData>
  <mergeCells count="3">
    <mergeCell ref="A4:F4"/>
    <mergeCell ref="A5:F5"/>
    <mergeCell ref="A7:F7"/>
  </mergeCells>
  <printOptions horizontalCentered="1"/>
  <pageMargins left="0.47244094488188981" right="0.31496062992125984" top="0.27559055118110237" bottom="0.74803149606299213" header="0.51181102362204722" footer="0.51181102362204722"/>
  <pageSetup paperSize="9" orientation="portrait" horizontalDpi="4294967295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FDF63-9C17-41A8-8660-934826ED5C32}">
  <dimension ref="A1:F54"/>
  <sheetViews>
    <sheetView view="pageBreakPreview" zoomScaleNormal="100" zoomScaleSheetLayoutView="100" zoomScalePageLayoutView="105" workbookViewId="0">
      <selection activeCell="D60" sqref="D60"/>
    </sheetView>
  </sheetViews>
  <sheetFormatPr baseColWidth="10" defaultRowHeight="13.2" x14ac:dyDescent="0.25"/>
  <cols>
    <col min="1" max="1" width="7.44140625" style="3" customWidth="1"/>
    <col min="2" max="2" width="41.44140625" customWidth="1"/>
    <col min="3" max="3" width="5" customWidth="1"/>
    <col min="4" max="4" width="11.44140625" style="115" customWidth="1"/>
    <col min="5" max="5" width="13.109375" style="1" customWidth="1"/>
    <col min="6" max="6" width="18.109375" customWidth="1"/>
  </cols>
  <sheetData>
    <row r="1" spans="1:6" s="107" customFormat="1" ht="6" customHeight="1" x14ac:dyDescent="0.25">
      <c r="A1" s="114"/>
      <c r="D1" s="137"/>
    </row>
    <row r="2" spans="1:6" s="107" customFormat="1" ht="4.6500000000000004" hidden="1" customHeight="1" thickBot="1" x14ac:dyDescent="0.3">
      <c r="A2" s="114"/>
      <c r="D2" s="137"/>
    </row>
    <row r="3" spans="1:6" s="107" customFormat="1" ht="9" hidden="1" customHeight="1" thickBot="1" x14ac:dyDescent="0.3">
      <c r="A3" s="111"/>
      <c r="B3" s="110"/>
      <c r="C3" s="110"/>
      <c r="D3" s="136"/>
      <c r="E3" s="110"/>
      <c r="F3" s="110"/>
    </row>
    <row r="4" spans="1:6" s="30" customFormat="1" ht="25.2" customHeight="1" x14ac:dyDescent="0.25">
      <c r="A4" s="158" t="s">
        <v>228</v>
      </c>
      <c r="B4" s="158"/>
      <c r="C4" s="158"/>
      <c r="D4" s="158"/>
      <c r="E4" s="158"/>
      <c r="F4" s="158"/>
    </row>
    <row r="5" spans="1:6" s="30" customFormat="1" ht="25.2" customHeight="1" x14ac:dyDescent="0.25">
      <c r="A5" s="159" t="s">
        <v>230</v>
      </c>
      <c r="B5" s="159"/>
      <c r="C5" s="159"/>
      <c r="D5" s="159"/>
      <c r="E5" s="159"/>
      <c r="F5" s="159"/>
    </row>
    <row r="6" spans="1:6" s="30" customFormat="1" ht="25.2" customHeight="1" x14ac:dyDescent="0.25">
      <c r="A6" s="143"/>
      <c r="B6" s="143"/>
      <c r="C6" s="143"/>
      <c r="D6" s="143"/>
      <c r="E6" s="143"/>
      <c r="F6" s="143"/>
    </row>
    <row r="7" spans="1:6" s="106" customFormat="1" ht="36.75" customHeight="1" x14ac:dyDescent="0.25">
      <c r="A7" s="160" t="s">
        <v>227</v>
      </c>
      <c r="B7" s="161"/>
      <c r="C7" s="161"/>
      <c r="D7" s="161"/>
      <c r="E7" s="161"/>
      <c r="F7" s="161"/>
    </row>
    <row r="8" spans="1:6" s="30" customFormat="1" ht="28.2" customHeight="1" x14ac:dyDescent="0.25">
      <c r="A8" s="105" t="s">
        <v>126</v>
      </c>
      <c r="B8" s="105" t="s">
        <v>125</v>
      </c>
      <c r="C8" s="103" t="s">
        <v>124</v>
      </c>
      <c r="D8" s="134" t="s">
        <v>123</v>
      </c>
      <c r="E8" s="103" t="s">
        <v>122</v>
      </c>
      <c r="F8" s="103" t="s">
        <v>121</v>
      </c>
    </row>
    <row r="9" spans="1:6" s="30" customFormat="1" ht="28.2" customHeight="1" x14ac:dyDescent="0.25">
      <c r="A9" s="51" t="s">
        <v>120</v>
      </c>
      <c r="B9" s="102" t="s">
        <v>119</v>
      </c>
      <c r="C9" s="35"/>
      <c r="D9" s="46"/>
      <c r="E9" s="45"/>
      <c r="F9" s="44"/>
    </row>
    <row r="10" spans="1:6" s="30" customFormat="1" ht="28.2" customHeight="1" x14ac:dyDescent="0.25">
      <c r="A10" s="37" t="s">
        <v>118</v>
      </c>
      <c r="B10" s="133" t="s">
        <v>226</v>
      </c>
      <c r="C10" s="98" t="s">
        <v>30</v>
      </c>
      <c r="D10" s="78">
        <f>2*3.2*15</f>
        <v>96</v>
      </c>
      <c r="E10" s="56"/>
      <c r="F10" s="44">
        <f>E10*D10</f>
        <v>0</v>
      </c>
    </row>
    <row r="11" spans="1:6" ht="28.2" customHeight="1" x14ac:dyDescent="0.25">
      <c r="A11" s="37" t="s">
        <v>191</v>
      </c>
      <c r="B11" s="49" t="s">
        <v>225</v>
      </c>
      <c r="C11" s="98" t="s">
        <v>67</v>
      </c>
      <c r="D11" s="78">
        <f>(9*11+8*6)*0.5</f>
        <v>73.5</v>
      </c>
      <c r="E11" s="44"/>
      <c r="F11" s="44">
        <f>E11*D11</f>
        <v>0</v>
      </c>
    </row>
    <row r="12" spans="1:6" ht="28.2" customHeight="1" x14ac:dyDescent="0.25">
      <c r="A12" s="127"/>
      <c r="B12" s="36" t="s">
        <v>116</v>
      </c>
      <c r="C12" s="59"/>
      <c r="D12" s="58"/>
      <c r="E12" s="38"/>
      <c r="F12" s="117">
        <f>SUM(F10:F11)</f>
        <v>0</v>
      </c>
    </row>
    <row r="13" spans="1:6" ht="28.2" customHeight="1" x14ac:dyDescent="0.25">
      <c r="A13" s="51" t="s">
        <v>115</v>
      </c>
      <c r="B13" s="102" t="s">
        <v>224</v>
      </c>
      <c r="C13" s="35"/>
      <c r="D13" s="46"/>
      <c r="E13" s="45"/>
      <c r="F13" s="44"/>
    </row>
    <row r="14" spans="1:6" s="14" customFormat="1" ht="28.2" customHeight="1" x14ac:dyDescent="0.25">
      <c r="A14" s="37" t="s">
        <v>95</v>
      </c>
      <c r="B14" s="49" t="s">
        <v>223</v>
      </c>
      <c r="C14" s="49" t="s">
        <v>7</v>
      </c>
      <c r="D14" s="141">
        <v>1</v>
      </c>
      <c r="E14" s="56"/>
      <c r="F14" s="128">
        <f>E14*D14</f>
        <v>0</v>
      </c>
    </row>
    <row r="15" spans="1:6" ht="28.2" customHeight="1" x14ac:dyDescent="0.25">
      <c r="A15" s="127"/>
      <c r="B15" s="36" t="s">
        <v>98</v>
      </c>
      <c r="C15" s="59"/>
      <c r="D15" s="58"/>
      <c r="E15" s="38"/>
      <c r="F15" s="117">
        <f>SUM(F14:F14)</f>
        <v>0</v>
      </c>
    </row>
    <row r="16" spans="1:6" ht="28.2" customHeight="1" x14ac:dyDescent="0.25">
      <c r="A16" s="51" t="s">
        <v>97</v>
      </c>
      <c r="B16" s="99" t="s">
        <v>166</v>
      </c>
      <c r="C16" s="59"/>
      <c r="D16" s="58"/>
      <c r="E16" s="38"/>
      <c r="F16" s="117"/>
    </row>
    <row r="17" spans="1:6" ht="28.2" customHeight="1" x14ac:dyDescent="0.25">
      <c r="A17" s="37" t="s">
        <v>165</v>
      </c>
      <c r="B17" s="49" t="s">
        <v>175</v>
      </c>
      <c r="C17" s="98" t="s">
        <v>67</v>
      </c>
      <c r="D17" s="78">
        <f>20*0.2*0.15+0.2*0.15*0.1</f>
        <v>0.60299999999999998</v>
      </c>
      <c r="E17" s="56"/>
      <c r="F17" s="44">
        <f>E17*D17</f>
        <v>0</v>
      </c>
    </row>
    <row r="18" spans="1:6" ht="31.2" customHeight="1" x14ac:dyDescent="0.25">
      <c r="A18" s="37" t="s">
        <v>163</v>
      </c>
      <c r="B18" s="49" t="s">
        <v>222</v>
      </c>
      <c r="C18" s="49" t="s">
        <v>30</v>
      </c>
      <c r="D18" s="141">
        <f>((8*2+11*2+11*0.7)*3)-(1.6*1.2*4+1.4*2.2)+2.2*10*2-4*1.6*1.2-1.4*2.2</f>
        <v>159.58000000000001</v>
      </c>
      <c r="E18" s="56"/>
      <c r="F18" s="128">
        <f>E18*D18</f>
        <v>0</v>
      </c>
    </row>
    <row r="19" spans="1:6" ht="31.2" customHeight="1" x14ac:dyDescent="0.25">
      <c r="A19" s="37" t="s">
        <v>221</v>
      </c>
      <c r="B19" s="49" t="s">
        <v>220</v>
      </c>
      <c r="C19" s="49" t="s">
        <v>30</v>
      </c>
      <c r="D19" s="141">
        <f>(19*2*4.5)+19*2*4+11*1.2-(1.6*1.2*4+1.4*2.2)</f>
        <v>325.44</v>
      </c>
      <c r="E19" s="56"/>
      <c r="F19" s="128" t="s">
        <v>196</v>
      </c>
    </row>
    <row r="20" spans="1:6" ht="27.6" x14ac:dyDescent="0.25">
      <c r="A20" s="37" t="s">
        <v>219</v>
      </c>
      <c r="B20" s="49" t="s">
        <v>171</v>
      </c>
      <c r="C20" s="98" t="s">
        <v>67</v>
      </c>
      <c r="D20" s="141">
        <f>(11*8*0.1)</f>
        <v>8.8000000000000007</v>
      </c>
      <c r="E20" s="56"/>
      <c r="F20" s="44">
        <f>E20*D20</f>
        <v>0</v>
      </c>
    </row>
    <row r="21" spans="1:6" ht="27.6" x14ac:dyDescent="0.25">
      <c r="A21" s="37" t="s">
        <v>218</v>
      </c>
      <c r="B21" s="131" t="s">
        <v>169</v>
      </c>
      <c r="C21" s="130" t="s">
        <v>30</v>
      </c>
      <c r="D21" s="141">
        <f>(11.25)*0.4</f>
        <v>4.5</v>
      </c>
      <c r="E21" s="56"/>
      <c r="F21" s="128">
        <f>E21*D21</f>
        <v>0</v>
      </c>
    </row>
    <row r="22" spans="1:6" ht="28.2" customHeight="1" x14ac:dyDescent="0.25">
      <c r="A22" s="127"/>
      <c r="B22" s="36" t="s">
        <v>93</v>
      </c>
      <c r="C22" s="59"/>
      <c r="D22" s="58"/>
      <c r="E22" s="38"/>
      <c r="F22" s="117">
        <f>SUM(F17:F21)</f>
        <v>0</v>
      </c>
    </row>
    <row r="23" spans="1:6" ht="28.2" customHeight="1" x14ac:dyDescent="0.25">
      <c r="A23" s="81" t="s">
        <v>92</v>
      </c>
      <c r="B23" s="80" t="s">
        <v>217</v>
      </c>
      <c r="C23" s="79"/>
      <c r="D23" s="78"/>
      <c r="E23" s="77"/>
      <c r="F23" s="76"/>
    </row>
    <row r="24" spans="1:6" ht="27.6" x14ac:dyDescent="0.25">
      <c r="A24" s="126" t="s">
        <v>90</v>
      </c>
      <c r="B24" s="125" t="s">
        <v>216</v>
      </c>
      <c r="C24" s="98" t="s">
        <v>4</v>
      </c>
      <c r="D24" s="78">
        <v>1</v>
      </c>
      <c r="E24" s="124"/>
      <c r="F24" s="123">
        <f>E24*D24</f>
        <v>0</v>
      </c>
    </row>
    <row r="25" spans="1:6" ht="28.2" customHeight="1" x14ac:dyDescent="0.25">
      <c r="A25" s="126" t="s">
        <v>88</v>
      </c>
      <c r="B25" s="125" t="s">
        <v>215</v>
      </c>
      <c r="C25" s="98" t="s">
        <v>4</v>
      </c>
      <c r="D25" s="78">
        <v>4</v>
      </c>
      <c r="E25" s="124"/>
      <c r="F25" s="123">
        <f>E25*D25</f>
        <v>0</v>
      </c>
    </row>
    <row r="26" spans="1:6" ht="28.2" customHeight="1" x14ac:dyDescent="0.25">
      <c r="A26" s="126" t="s">
        <v>86</v>
      </c>
      <c r="B26" s="125" t="s">
        <v>214</v>
      </c>
      <c r="C26" s="98" t="s">
        <v>15</v>
      </c>
      <c r="D26" s="78">
        <f>11*8</f>
        <v>88</v>
      </c>
      <c r="E26" s="124"/>
      <c r="F26" s="123" t="s">
        <v>196</v>
      </c>
    </row>
    <row r="27" spans="1:6" ht="28.2" customHeight="1" x14ac:dyDescent="0.25">
      <c r="A27" s="122"/>
      <c r="B27" s="121" t="s">
        <v>54</v>
      </c>
      <c r="C27" s="98"/>
      <c r="D27" s="120"/>
      <c r="E27" s="77"/>
      <c r="F27" s="76">
        <f>SUM(F24:F26)</f>
        <v>0</v>
      </c>
    </row>
    <row r="28" spans="1:6" ht="28.2" customHeight="1" x14ac:dyDescent="0.25">
      <c r="A28" s="51" t="s">
        <v>158</v>
      </c>
      <c r="B28" s="50" t="s">
        <v>12</v>
      </c>
      <c r="C28" s="35"/>
      <c r="D28" s="46"/>
      <c r="E28" s="45"/>
      <c r="F28" s="44"/>
    </row>
    <row r="29" spans="1:6" ht="28.2" customHeight="1" x14ac:dyDescent="0.25">
      <c r="A29" s="37" t="s">
        <v>51</v>
      </c>
      <c r="B29" s="49" t="s">
        <v>213</v>
      </c>
      <c r="C29" s="35" t="s">
        <v>7</v>
      </c>
      <c r="D29" s="48">
        <v>1</v>
      </c>
      <c r="E29" s="45"/>
      <c r="F29" s="44">
        <f>D29*E29</f>
        <v>0</v>
      </c>
    </row>
    <row r="30" spans="1:6" ht="28.2" customHeight="1" x14ac:dyDescent="0.25">
      <c r="A30" s="37" t="s">
        <v>49</v>
      </c>
      <c r="B30" s="49" t="s">
        <v>212</v>
      </c>
      <c r="C30" s="35" t="s">
        <v>4</v>
      </c>
      <c r="D30" s="48">
        <v>6</v>
      </c>
      <c r="E30" s="45"/>
      <c r="F30" s="44" t="s">
        <v>196</v>
      </c>
    </row>
    <row r="31" spans="1:6" ht="28.2" customHeight="1" x14ac:dyDescent="0.25">
      <c r="A31" s="37" t="s">
        <v>48</v>
      </c>
      <c r="B31" s="49" t="s">
        <v>211</v>
      </c>
      <c r="C31" s="35" t="s">
        <v>4</v>
      </c>
      <c r="D31" s="48">
        <v>2</v>
      </c>
      <c r="E31" s="45"/>
      <c r="F31" s="44" t="s">
        <v>196</v>
      </c>
    </row>
    <row r="32" spans="1:6" ht="28.2" customHeight="1" x14ac:dyDescent="0.25">
      <c r="A32" s="37" t="s">
        <v>153</v>
      </c>
      <c r="B32" s="49" t="s">
        <v>210</v>
      </c>
      <c r="C32" s="35" t="s">
        <v>4</v>
      </c>
      <c r="D32" s="48">
        <v>2</v>
      </c>
      <c r="E32" s="45"/>
      <c r="F32" s="44" t="s">
        <v>196</v>
      </c>
    </row>
    <row r="33" spans="1:6" ht="28.2" customHeight="1" x14ac:dyDescent="0.25">
      <c r="A33" s="37" t="s">
        <v>209</v>
      </c>
      <c r="B33" s="49" t="s">
        <v>208</v>
      </c>
      <c r="C33" s="35" t="s">
        <v>4</v>
      </c>
      <c r="D33" s="48">
        <v>2</v>
      </c>
      <c r="E33" s="45"/>
      <c r="F33" s="44" t="s">
        <v>196</v>
      </c>
    </row>
    <row r="34" spans="1:6" ht="28.2" customHeight="1" x14ac:dyDescent="0.25">
      <c r="A34" s="37" t="s">
        <v>207</v>
      </c>
      <c r="B34" s="49" t="s">
        <v>206</v>
      </c>
      <c r="C34" s="35" t="s">
        <v>7</v>
      </c>
      <c r="D34" s="48">
        <v>5</v>
      </c>
      <c r="E34" s="45"/>
      <c r="F34" s="44" t="s">
        <v>196</v>
      </c>
    </row>
    <row r="35" spans="1:6" ht="28.2" customHeight="1" x14ac:dyDescent="0.25">
      <c r="A35" s="37"/>
      <c r="B35" s="36" t="s">
        <v>46</v>
      </c>
      <c r="C35" s="59"/>
      <c r="D35" s="58"/>
      <c r="E35" s="38"/>
      <c r="F35" s="117">
        <f>SUM(F29:F30)</f>
        <v>0</v>
      </c>
    </row>
    <row r="36" spans="1:6" ht="13.8" x14ac:dyDescent="0.25">
      <c r="A36" s="51" t="s">
        <v>45</v>
      </c>
      <c r="B36" s="50" t="s">
        <v>22</v>
      </c>
      <c r="C36" s="59"/>
      <c r="D36" s="58"/>
      <c r="E36" s="38"/>
      <c r="F36" s="57"/>
    </row>
    <row r="37" spans="1:6" ht="27.6" x14ac:dyDescent="0.25">
      <c r="A37" s="37" t="s">
        <v>43</v>
      </c>
      <c r="B37" s="49" t="s">
        <v>205</v>
      </c>
      <c r="C37" s="53" t="s">
        <v>15</v>
      </c>
      <c r="D37" s="54">
        <f>12*8</f>
        <v>96</v>
      </c>
      <c r="E37" s="45"/>
      <c r="F37" s="55">
        <f>D37*E37</f>
        <v>0</v>
      </c>
    </row>
    <row r="38" spans="1:6" ht="28.2" customHeight="1" x14ac:dyDescent="0.25">
      <c r="A38" s="37" t="s">
        <v>41</v>
      </c>
      <c r="B38" s="49" t="s">
        <v>204</v>
      </c>
      <c r="C38" s="53" t="s">
        <v>139</v>
      </c>
      <c r="D38" s="54">
        <v>6</v>
      </c>
      <c r="E38" s="45"/>
      <c r="F38" s="55">
        <f>D38*E38</f>
        <v>0</v>
      </c>
    </row>
    <row r="39" spans="1:6" ht="13.8" x14ac:dyDescent="0.25">
      <c r="A39" s="37" t="s">
        <v>39</v>
      </c>
      <c r="B39" s="49" t="s">
        <v>16</v>
      </c>
      <c r="C39" s="53" t="s">
        <v>15</v>
      </c>
      <c r="D39" s="54">
        <f>8*2+11</f>
        <v>27</v>
      </c>
      <c r="E39" s="45"/>
      <c r="F39" s="55">
        <f>D39*E39</f>
        <v>0</v>
      </c>
    </row>
    <row r="40" spans="1:6" ht="28.2" customHeight="1" x14ac:dyDescent="0.25">
      <c r="A40" s="37" t="s">
        <v>203</v>
      </c>
      <c r="B40" s="49" t="s">
        <v>142</v>
      </c>
      <c r="C40" s="53" t="s">
        <v>15</v>
      </c>
      <c r="D40" s="54">
        <f>11+16+0.5</f>
        <v>27.5</v>
      </c>
      <c r="E40" s="45"/>
      <c r="F40" s="55">
        <f>D40*E40</f>
        <v>0</v>
      </c>
    </row>
    <row r="41" spans="1:6" ht="27.6" x14ac:dyDescent="0.25">
      <c r="A41" s="37" t="s">
        <v>202</v>
      </c>
      <c r="B41" s="49" t="s">
        <v>201</v>
      </c>
      <c r="C41" s="53" t="s">
        <v>30</v>
      </c>
      <c r="D41" s="54">
        <f>8.5*11</f>
        <v>93.5</v>
      </c>
      <c r="E41" s="45"/>
      <c r="F41" s="55">
        <f>D41*E41</f>
        <v>0</v>
      </c>
    </row>
    <row r="42" spans="1:6" ht="28.2" customHeight="1" x14ac:dyDescent="0.25">
      <c r="A42" s="37"/>
      <c r="B42" s="36" t="s">
        <v>37</v>
      </c>
      <c r="C42" s="53"/>
      <c r="D42" s="54"/>
      <c r="E42" s="53"/>
      <c r="F42" s="52">
        <f>+SUM(F37:F41)</f>
        <v>0</v>
      </c>
    </row>
    <row r="43" spans="1:6" ht="28.2" customHeight="1" x14ac:dyDescent="0.25">
      <c r="A43" s="51" t="s">
        <v>36</v>
      </c>
      <c r="B43" s="50" t="s">
        <v>151</v>
      </c>
      <c r="C43" s="35"/>
      <c r="D43" s="46"/>
      <c r="E43" s="45"/>
      <c r="F43" s="44"/>
    </row>
    <row r="44" spans="1:6" ht="28.2" customHeight="1" x14ac:dyDescent="0.25">
      <c r="A44" s="37" t="s">
        <v>34</v>
      </c>
      <c r="B44" s="49" t="s">
        <v>200</v>
      </c>
      <c r="C44" s="35" t="s">
        <v>30</v>
      </c>
      <c r="D44" s="46">
        <f>D19</f>
        <v>325.44</v>
      </c>
      <c r="E44" s="45"/>
      <c r="F44" s="44" t="s">
        <v>196</v>
      </c>
    </row>
    <row r="45" spans="1:6" ht="40.799999999999997" customHeight="1" x14ac:dyDescent="0.25">
      <c r="A45" s="37" t="s">
        <v>32</v>
      </c>
      <c r="B45" s="49" t="s">
        <v>199</v>
      </c>
      <c r="C45" s="35" t="s">
        <v>30</v>
      </c>
      <c r="D45" s="46">
        <f>19*2*4-1.6*1.2*4-1.4*2.2</f>
        <v>141.23999999999998</v>
      </c>
      <c r="E45" s="45"/>
      <c r="F45" s="44" t="s">
        <v>196</v>
      </c>
    </row>
    <row r="46" spans="1:6" ht="28.2" customHeight="1" x14ac:dyDescent="0.25">
      <c r="A46" s="37" t="s">
        <v>198</v>
      </c>
      <c r="B46" s="49" t="s">
        <v>197</v>
      </c>
      <c r="C46" s="35" t="s">
        <v>30</v>
      </c>
      <c r="D46" s="46">
        <f>(8+6+17.25+8+11)*5-1.6*1.2*4-1.4*2.2</f>
        <v>240.48999999999998</v>
      </c>
      <c r="E46" s="45"/>
      <c r="F46" s="44" t="s">
        <v>196</v>
      </c>
    </row>
    <row r="47" spans="1:6" ht="20.399999999999999" customHeight="1" x14ac:dyDescent="0.25">
      <c r="A47" s="37"/>
      <c r="B47" s="36" t="s">
        <v>29</v>
      </c>
      <c r="C47" s="35"/>
      <c r="D47" s="46"/>
      <c r="E47" s="45"/>
      <c r="F47" s="117" t="s">
        <v>196</v>
      </c>
    </row>
    <row r="48" spans="1:6" ht="13.8" x14ac:dyDescent="0.25">
      <c r="A48" s="164" t="s">
        <v>195</v>
      </c>
      <c r="B48" s="165"/>
      <c r="C48" s="35"/>
      <c r="D48" s="46"/>
      <c r="E48" s="33"/>
      <c r="F48" s="117">
        <f>SUM(F47,F42,F35,F27,F22,F15,F12)</f>
        <v>0</v>
      </c>
    </row>
    <row r="49" spans="1:6" ht="13.8" x14ac:dyDescent="0.25">
      <c r="A49" s="164" t="s">
        <v>1</v>
      </c>
      <c r="B49" s="165"/>
      <c r="C49" s="35"/>
      <c r="D49" s="46"/>
      <c r="E49" s="33"/>
      <c r="F49" s="116">
        <f>F48*0.18</f>
        <v>0</v>
      </c>
    </row>
    <row r="50" spans="1:6" ht="23.85" customHeight="1" x14ac:dyDescent="0.25">
      <c r="A50" s="162" t="s">
        <v>194</v>
      </c>
      <c r="B50" s="163"/>
      <c r="C50" s="140"/>
      <c r="D50" s="140"/>
      <c r="E50" s="140"/>
      <c r="F50" s="139">
        <f>F48+F49</f>
        <v>0</v>
      </c>
    </row>
    <row r="54" spans="1:6" x14ac:dyDescent="0.25">
      <c r="B54" s="138"/>
    </row>
  </sheetData>
  <mergeCells count="6">
    <mergeCell ref="A50:B50"/>
    <mergeCell ref="A4:F4"/>
    <mergeCell ref="A5:F5"/>
    <mergeCell ref="A7:F7"/>
    <mergeCell ref="A48:B48"/>
    <mergeCell ref="A49:B49"/>
  </mergeCells>
  <printOptions horizontalCentered="1"/>
  <pageMargins left="0.47244094488188981" right="0.31496062992125984" top="0.27559055118110237" bottom="0.75" header="0.51181102362204722" footer="0.51181102362204722"/>
  <pageSetup paperSize="9" orientation="portrait" horizontalDpi="4294967295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09974-A2E1-43C2-B54B-7B2EB3202DB6}">
  <dimension ref="A1:F96"/>
  <sheetViews>
    <sheetView view="pageBreakPreview" topLeftCell="A3" zoomScaleNormal="100" zoomScaleSheetLayoutView="100" zoomScalePageLayoutView="97" workbookViewId="0">
      <selection activeCell="A4" sqref="A4:F4"/>
    </sheetView>
  </sheetViews>
  <sheetFormatPr baseColWidth="10" defaultRowHeight="13.2" x14ac:dyDescent="0.25"/>
  <cols>
    <col min="1" max="1" width="7.44140625" style="3" customWidth="1"/>
    <col min="2" max="2" width="41.44140625" customWidth="1"/>
    <col min="3" max="3" width="5" customWidth="1"/>
    <col min="4" max="4" width="11.109375" style="2" bestFit="1" customWidth="1"/>
    <col min="5" max="5" width="13.109375" style="1" customWidth="1"/>
    <col min="6" max="6" width="15.44140625" style="1" bestFit="1" customWidth="1"/>
  </cols>
  <sheetData>
    <row r="1" spans="1:6" s="107" customFormat="1" ht="4.6500000000000004" hidden="1" customHeight="1" thickBot="1" x14ac:dyDescent="0.3">
      <c r="A1" s="114"/>
      <c r="D1" s="113"/>
      <c r="E1" s="112"/>
      <c r="F1" s="112"/>
    </row>
    <row r="2" spans="1:6" s="107" customFormat="1" ht="9" hidden="1" customHeight="1" thickBot="1" x14ac:dyDescent="0.3">
      <c r="A2" s="111"/>
      <c r="B2" s="110"/>
      <c r="C2" s="110"/>
      <c r="D2" s="109"/>
      <c r="E2" s="108"/>
      <c r="F2" s="108"/>
    </row>
    <row r="3" spans="1:6" s="107" customFormat="1" ht="25.2" customHeight="1" x14ac:dyDescent="0.25">
      <c r="A3" s="158" t="s">
        <v>228</v>
      </c>
      <c r="B3" s="158"/>
      <c r="C3" s="158"/>
      <c r="D3" s="158"/>
      <c r="E3" s="158"/>
      <c r="F3" s="158"/>
    </row>
    <row r="4" spans="1:6" s="107" customFormat="1" ht="25.2" customHeight="1" x14ac:dyDescent="0.25">
      <c r="A4" s="159" t="s">
        <v>231</v>
      </c>
      <c r="B4" s="159"/>
      <c r="C4" s="159"/>
      <c r="D4" s="159"/>
      <c r="E4" s="159"/>
      <c r="F4" s="159"/>
    </row>
    <row r="5" spans="1:6" s="107" customFormat="1" ht="25.2" customHeight="1" x14ac:dyDescent="0.25">
      <c r="A5" s="142"/>
      <c r="B5" s="142"/>
      <c r="C5" s="142"/>
      <c r="D5" s="142"/>
      <c r="E5" s="142"/>
      <c r="F5" s="142"/>
    </row>
    <row r="6" spans="1:6" s="106" customFormat="1" ht="36.75" customHeight="1" x14ac:dyDescent="0.25">
      <c r="A6" s="160" t="s">
        <v>127</v>
      </c>
      <c r="B6" s="161"/>
      <c r="C6" s="161"/>
      <c r="D6" s="161"/>
      <c r="E6" s="161"/>
      <c r="F6" s="161"/>
    </row>
    <row r="7" spans="1:6" s="30" customFormat="1" ht="28.2" customHeight="1" x14ac:dyDescent="0.25">
      <c r="A7" s="105" t="s">
        <v>126</v>
      </c>
      <c r="B7" s="105" t="s">
        <v>125</v>
      </c>
      <c r="C7" s="103" t="s">
        <v>124</v>
      </c>
      <c r="D7" s="104" t="s">
        <v>123</v>
      </c>
      <c r="E7" s="103" t="s">
        <v>122</v>
      </c>
      <c r="F7" s="103" t="s">
        <v>121</v>
      </c>
    </row>
    <row r="8" spans="1:6" s="30" customFormat="1" ht="28.2" customHeight="1" x14ac:dyDescent="0.25">
      <c r="A8" s="51" t="s">
        <v>120</v>
      </c>
      <c r="B8" s="102" t="s">
        <v>119</v>
      </c>
      <c r="C8" s="35"/>
      <c r="D8" s="34"/>
      <c r="E8" s="45"/>
      <c r="F8" s="45"/>
    </row>
    <row r="9" spans="1:6" s="30" customFormat="1" ht="28.2" customHeight="1" x14ac:dyDescent="0.25">
      <c r="A9" s="37" t="s">
        <v>118</v>
      </c>
      <c r="B9" s="49" t="s">
        <v>117</v>
      </c>
      <c r="C9" s="98" t="s">
        <v>60</v>
      </c>
      <c r="D9" s="97">
        <v>1</v>
      </c>
      <c r="E9" s="56"/>
      <c r="F9" s="45">
        <f>E9*D9</f>
        <v>0</v>
      </c>
    </row>
    <row r="10" spans="1:6" s="30" customFormat="1" ht="28.2" customHeight="1" x14ac:dyDescent="0.25">
      <c r="A10" s="37"/>
      <c r="B10" s="36" t="s">
        <v>116</v>
      </c>
      <c r="C10" s="59"/>
      <c r="D10" s="97"/>
      <c r="E10" s="38"/>
      <c r="F10" s="38">
        <f>SUM(F9:F9)</f>
        <v>0</v>
      </c>
    </row>
    <row r="11" spans="1:6" s="31" customFormat="1" ht="28.2" customHeight="1" x14ac:dyDescent="0.25">
      <c r="A11" s="51" t="s">
        <v>115</v>
      </c>
      <c r="B11" s="99" t="s">
        <v>114</v>
      </c>
      <c r="C11" s="59"/>
      <c r="D11" s="101"/>
      <c r="E11" s="38"/>
      <c r="F11" s="38"/>
    </row>
    <row r="12" spans="1:6" s="31" customFormat="1" ht="41.4" x14ac:dyDescent="0.25">
      <c r="A12" s="37" t="s">
        <v>95</v>
      </c>
      <c r="B12" s="49" t="s">
        <v>113</v>
      </c>
      <c r="C12" s="35" t="s">
        <v>67</v>
      </c>
      <c r="D12" s="97">
        <f>33.25*3</f>
        <v>99.75</v>
      </c>
      <c r="E12" s="56"/>
      <c r="F12" s="56">
        <f t="shared" ref="F12:F19" si="0">D12*E12</f>
        <v>0</v>
      </c>
    </row>
    <row r="13" spans="1:6" s="31" customFormat="1" ht="27.6" x14ac:dyDescent="0.25">
      <c r="A13" s="37" t="s">
        <v>112</v>
      </c>
      <c r="B13" s="49" t="s">
        <v>111</v>
      </c>
      <c r="C13" s="35" t="s">
        <v>67</v>
      </c>
      <c r="D13" s="97">
        <v>1.92</v>
      </c>
      <c r="E13" s="56"/>
      <c r="F13" s="56">
        <f t="shared" si="0"/>
        <v>0</v>
      </c>
    </row>
    <row r="14" spans="1:6" s="31" customFormat="1" ht="27.6" x14ac:dyDescent="0.25">
      <c r="A14" s="37" t="s">
        <v>110</v>
      </c>
      <c r="B14" s="49" t="s">
        <v>109</v>
      </c>
      <c r="C14" s="35" t="s">
        <v>67</v>
      </c>
      <c r="D14" s="97">
        <f>33.25*0.05*0.3</f>
        <v>0.49875000000000003</v>
      </c>
      <c r="E14" s="56"/>
      <c r="F14" s="56">
        <f t="shared" si="0"/>
        <v>0</v>
      </c>
    </row>
    <row r="15" spans="1:6" s="31" customFormat="1" ht="27.6" x14ac:dyDescent="0.25">
      <c r="A15" s="37" t="s">
        <v>108</v>
      </c>
      <c r="B15" s="49" t="s">
        <v>107</v>
      </c>
      <c r="C15" s="35" t="s">
        <v>67</v>
      </c>
      <c r="D15" s="97">
        <f>0.15*0.15*3.4*12</f>
        <v>0.91799999999999993</v>
      </c>
      <c r="E15" s="56"/>
      <c r="F15" s="56">
        <f t="shared" si="0"/>
        <v>0</v>
      </c>
    </row>
    <row r="16" spans="1:6" s="31" customFormat="1" ht="27.6" x14ac:dyDescent="0.25">
      <c r="A16" s="37" t="s">
        <v>106</v>
      </c>
      <c r="B16" s="49" t="s">
        <v>105</v>
      </c>
      <c r="C16" s="35" t="s">
        <v>67</v>
      </c>
      <c r="D16" s="97">
        <f>33.25*0.2*0.2</f>
        <v>1.33</v>
      </c>
      <c r="E16" s="56"/>
      <c r="F16" s="56">
        <f t="shared" si="0"/>
        <v>0</v>
      </c>
    </row>
    <row r="17" spans="1:6" s="31" customFormat="1" ht="41.4" x14ac:dyDescent="0.25">
      <c r="A17" s="37" t="s">
        <v>104</v>
      </c>
      <c r="B17" s="49" t="s">
        <v>103</v>
      </c>
      <c r="C17" s="35" t="s">
        <v>67</v>
      </c>
      <c r="D17" s="97">
        <f>33.25*0.2*0.3</f>
        <v>1.9950000000000001</v>
      </c>
      <c r="E17" s="56"/>
      <c r="F17" s="56">
        <f t="shared" si="0"/>
        <v>0</v>
      </c>
    </row>
    <row r="18" spans="1:6" s="31" customFormat="1" ht="27.6" x14ac:dyDescent="0.25">
      <c r="A18" s="37" t="s">
        <v>102</v>
      </c>
      <c r="B18" s="49" t="s">
        <v>101</v>
      </c>
      <c r="C18" s="35" t="s">
        <v>30</v>
      </c>
      <c r="D18" s="97">
        <f>33.25*3</f>
        <v>99.75</v>
      </c>
      <c r="E18" s="56"/>
      <c r="F18" s="56">
        <f t="shared" si="0"/>
        <v>0</v>
      </c>
    </row>
    <row r="19" spans="1:6" s="31" customFormat="1" ht="27.6" x14ac:dyDescent="0.25">
      <c r="A19" s="37" t="s">
        <v>100</v>
      </c>
      <c r="B19" s="49" t="s">
        <v>99</v>
      </c>
      <c r="C19" s="35" t="s">
        <v>30</v>
      </c>
      <c r="D19" s="97">
        <f>2.8*3*4*2+2.8*3*2+7*3*2</f>
        <v>125.99999999999999</v>
      </c>
      <c r="E19" s="56"/>
      <c r="F19" s="56">
        <f t="shared" si="0"/>
        <v>0</v>
      </c>
    </row>
    <row r="20" spans="1:6" s="31" customFormat="1" ht="28.2" customHeight="1" x14ac:dyDescent="0.25">
      <c r="A20" s="51"/>
      <c r="B20" s="36" t="s">
        <v>98</v>
      </c>
      <c r="C20" s="59"/>
      <c r="D20" s="86"/>
      <c r="E20" s="100"/>
      <c r="F20" s="38">
        <f>SUM(F12:F19)</f>
        <v>0</v>
      </c>
    </row>
    <row r="21" spans="1:6" s="31" customFormat="1" ht="28.2" customHeight="1" x14ac:dyDescent="0.25">
      <c r="A21" s="51" t="s">
        <v>97</v>
      </c>
      <c r="B21" s="99" t="s">
        <v>96</v>
      </c>
      <c r="C21" s="98"/>
      <c r="D21" s="97"/>
      <c r="E21" s="56"/>
      <c r="F21" s="45"/>
    </row>
    <row r="22" spans="1:6" s="31" customFormat="1" ht="28.2" customHeight="1" x14ac:dyDescent="0.25">
      <c r="A22" s="37" t="s">
        <v>95</v>
      </c>
      <c r="B22" s="62" t="s">
        <v>94</v>
      </c>
      <c r="C22" s="61" t="s">
        <v>67</v>
      </c>
      <c r="D22" s="60">
        <f>(7*3)*0.12+0.3</f>
        <v>2.82</v>
      </c>
      <c r="E22" s="56"/>
      <c r="F22" s="45">
        <f>D22*E22</f>
        <v>0</v>
      </c>
    </row>
    <row r="23" spans="1:6" s="31" customFormat="1" ht="18" x14ac:dyDescent="0.25">
      <c r="A23" s="51"/>
      <c r="B23" s="36" t="s">
        <v>93</v>
      </c>
      <c r="C23" s="59"/>
      <c r="D23" s="86"/>
      <c r="E23" s="56"/>
      <c r="F23" s="38">
        <f>F22</f>
        <v>0</v>
      </c>
    </row>
    <row r="24" spans="1:6" s="31" customFormat="1" ht="18" x14ac:dyDescent="0.25">
      <c r="A24" s="51" t="s">
        <v>92</v>
      </c>
      <c r="B24" s="75" t="s">
        <v>91</v>
      </c>
      <c r="C24" s="59"/>
      <c r="D24" s="86"/>
      <c r="E24" s="56"/>
      <c r="F24" s="38"/>
    </row>
    <row r="25" spans="1:6" s="31" customFormat="1" ht="27.6" x14ac:dyDescent="0.25">
      <c r="A25" s="37" t="s">
        <v>90</v>
      </c>
      <c r="B25" s="62" t="s">
        <v>89</v>
      </c>
      <c r="C25" s="61" t="s">
        <v>67</v>
      </c>
      <c r="D25" s="60">
        <f>(9.65+1.35)*2</f>
        <v>22</v>
      </c>
      <c r="E25" s="56"/>
      <c r="F25" s="45">
        <f t="shared" ref="F25:F40" si="1">D25*E25</f>
        <v>0</v>
      </c>
    </row>
    <row r="26" spans="1:6" s="31" customFormat="1" ht="41.4" x14ac:dyDescent="0.25">
      <c r="A26" s="37" t="s">
        <v>88</v>
      </c>
      <c r="B26" s="62" t="s">
        <v>87</v>
      </c>
      <c r="C26" s="61" t="s">
        <v>67</v>
      </c>
      <c r="D26" s="60">
        <f>(9.65+1.35)*0.2</f>
        <v>2.2000000000000002</v>
      </c>
      <c r="E26" s="56"/>
      <c r="F26" s="45">
        <f t="shared" si="1"/>
        <v>0</v>
      </c>
    </row>
    <row r="27" spans="1:6" s="31" customFormat="1" ht="41.4" x14ac:dyDescent="0.25">
      <c r="A27" s="37" t="s">
        <v>86</v>
      </c>
      <c r="B27" s="62" t="s">
        <v>85</v>
      </c>
      <c r="C27" s="61" t="s">
        <v>67</v>
      </c>
      <c r="D27" s="60">
        <f>17*0.15*0.15*3</f>
        <v>1.1475</v>
      </c>
      <c r="E27" s="56"/>
      <c r="F27" s="45">
        <f t="shared" si="1"/>
        <v>0</v>
      </c>
    </row>
    <row r="28" spans="1:6" s="31" customFormat="1" ht="27.6" x14ac:dyDescent="0.25">
      <c r="A28" s="37" t="s">
        <v>84</v>
      </c>
      <c r="B28" s="62" t="s">
        <v>83</v>
      </c>
      <c r="C28" s="61" t="s">
        <v>30</v>
      </c>
      <c r="D28" s="60">
        <f>(9.65+1.35)*0.4</f>
        <v>4.4000000000000004</v>
      </c>
      <c r="E28" s="56"/>
      <c r="F28" s="45">
        <f t="shared" si="1"/>
        <v>0</v>
      </c>
    </row>
    <row r="29" spans="1:6" s="31" customFormat="1" ht="27.6" x14ac:dyDescent="0.25">
      <c r="A29" s="37" t="s">
        <v>82</v>
      </c>
      <c r="B29" s="62" t="s">
        <v>81</v>
      </c>
      <c r="C29" s="61" t="s">
        <v>80</v>
      </c>
      <c r="D29" s="60">
        <f>(9.65+1.35+1.35)*1.7+((1.35*7+14)*3-(0.7*1.8*5*2))</f>
        <v>78.745000000000005</v>
      </c>
      <c r="E29" s="56"/>
      <c r="F29" s="45">
        <f t="shared" si="1"/>
        <v>0</v>
      </c>
    </row>
    <row r="30" spans="1:6" s="31" customFormat="1" ht="27.6" x14ac:dyDescent="0.25">
      <c r="A30" s="37" t="s">
        <v>79</v>
      </c>
      <c r="B30" s="62" t="s">
        <v>78</v>
      </c>
      <c r="C30" s="61" t="s">
        <v>4</v>
      </c>
      <c r="D30" s="60">
        <v>6</v>
      </c>
      <c r="E30" s="56"/>
      <c r="F30" s="45">
        <f t="shared" si="1"/>
        <v>0</v>
      </c>
    </row>
    <row r="31" spans="1:6" s="31" customFormat="1" ht="27.6" x14ac:dyDescent="0.25">
      <c r="A31" s="37" t="s">
        <v>77</v>
      </c>
      <c r="B31" s="62" t="s">
        <v>76</v>
      </c>
      <c r="C31" s="61" t="s">
        <v>30</v>
      </c>
      <c r="D31" s="60">
        <f>((2.7*2+1.35*4)*2+7+9.65*2+7*2)*2.6</f>
        <v>160.94000000000003</v>
      </c>
      <c r="E31" s="56"/>
      <c r="F31" s="45">
        <f t="shared" si="1"/>
        <v>0</v>
      </c>
    </row>
    <row r="32" spans="1:6" s="31" customFormat="1" ht="13.8" x14ac:dyDescent="0.25">
      <c r="A32" s="37" t="s">
        <v>75</v>
      </c>
      <c r="B32" s="62" t="s">
        <v>74</v>
      </c>
      <c r="C32" s="61" t="s">
        <v>30</v>
      </c>
      <c r="D32" s="60">
        <f>2.6*(10*2+7.5+3*2+1.5*5*2+1.5)-D54-0.8*6*2</f>
        <v>59.279999999999994</v>
      </c>
      <c r="E32" s="56"/>
      <c r="F32" s="45">
        <f t="shared" si="1"/>
        <v>0</v>
      </c>
    </row>
    <row r="33" spans="1:6" s="31" customFormat="1" ht="27.6" x14ac:dyDescent="0.25">
      <c r="A33" s="37" t="s">
        <v>73</v>
      </c>
      <c r="B33" s="62" t="s">
        <v>72</v>
      </c>
      <c r="C33" s="61" t="s">
        <v>30</v>
      </c>
      <c r="D33" s="60">
        <f>2.6*(10*2+3+1.5*2)-0.8*2*6</f>
        <v>58.000000000000007</v>
      </c>
      <c r="E33" s="56"/>
      <c r="F33" s="45">
        <f t="shared" si="1"/>
        <v>0</v>
      </c>
    </row>
    <row r="34" spans="1:6" s="31" customFormat="1" ht="13.8" x14ac:dyDescent="0.25">
      <c r="A34" s="37" t="s">
        <v>71</v>
      </c>
      <c r="B34" s="62" t="s">
        <v>70</v>
      </c>
      <c r="C34" s="61" t="s">
        <v>67</v>
      </c>
      <c r="D34" s="60">
        <f>9.65*13.5*0.5</f>
        <v>65.137500000000003</v>
      </c>
      <c r="E34" s="56"/>
      <c r="F34" s="45">
        <f t="shared" si="1"/>
        <v>0</v>
      </c>
    </row>
    <row r="35" spans="1:6" s="31" customFormat="1" ht="27.6" x14ac:dyDescent="0.25">
      <c r="A35" s="37" t="s">
        <v>69</v>
      </c>
      <c r="B35" s="62" t="s">
        <v>68</v>
      </c>
      <c r="C35" s="61" t="s">
        <v>67</v>
      </c>
      <c r="D35" s="60">
        <f>(9.65*1.35*0.1)</f>
        <v>1.3027500000000003</v>
      </c>
      <c r="E35" s="56"/>
      <c r="F35" s="45">
        <f t="shared" si="1"/>
        <v>0</v>
      </c>
    </row>
    <row r="36" spans="1:6" s="31" customFormat="1" ht="13.8" x14ac:dyDescent="0.25">
      <c r="A36" s="37" t="s">
        <v>66</v>
      </c>
      <c r="B36" s="62" t="s">
        <v>65</v>
      </c>
      <c r="C36" s="61" t="s">
        <v>30</v>
      </c>
      <c r="D36" s="60">
        <f>9.65*1.35</f>
        <v>13.027500000000002</v>
      </c>
      <c r="E36" s="56"/>
      <c r="F36" s="45">
        <f t="shared" si="1"/>
        <v>0</v>
      </c>
    </row>
    <row r="37" spans="1:6" s="31" customFormat="1" ht="27.6" x14ac:dyDescent="0.25">
      <c r="A37" s="37" t="s">
        <v>64</v>
      </c>
      <c r="B37" s="62" t="s">
        <v>63</v>
      </c>
      <c r="C37" s="61" t="s">
        <v>30</v>
      </c>
      <c r="D37" s="60">
        <v>6</v>
      </c>
      <c r="E37" s="56"/>
      <c r="F37" s="45">
        <f t="shared" si="1"/>
        <v>0</v>
      </c>
    </row>
    <row r="38" spans="1:6" s="31" customFormat="1" ht="41.4" x14ac:dyDescent="0.25">
      <c r="A38" s="37" t="s">
        <v>62</v>
      </c>
      <c r="B38" s="62" t="s">
        <v>61</v>
      </c>
      <c r="C38" s="61" t="s">
        <v>60</v>
      </c>
      <c r="D38" s="60">
        <v>1</v>
      </c>
      <c r="E38" s="56"/>
      <c r="F38" s="45">
        <f t="shared" si="1"/>
        <v>0</v>
      </c>
    </row>
    <row r="39" spans="1:6" s="31" customFormat="1" ht="13.8" x14ac:dyDescent="0.25">
      <c r="A39" s="37" t="s">
        <v>59</v>
      </c>
      <c r="B39" s="96" t="s">
        <v>58</v>
      </c>
      <c r="C39" s="95" t="s">
        <v>15</v>
      </c>
      <c r="D39" s="94">
        <v>3</v>
      </c>
      <c r="E39" s="93"/>
      <c r="F39" s="92">
        <f t="shared" si="1"/>
        <v>0</v>
      </c>
    </row>
    <row r="40" spans="1:6" s="87" customFormat="1" ht="36.75" customHeight="1" x14ac:dyDescent="0.25">
      <c r="A40" s="37" t="s">
        <v>57</v>
      </c>
      <c r="B40" s="62" t="s">
        <v>56</v>
      </c>
      <c r="C40" s="91" t="s">
        <v>55</v>
      </c>
      <c r="D40" s="90">
        <v>1</v>
      </c>
      <c r="E40" s="89"/>
      <c r="F40" s="88">
        <f t="shared" si="1"/>
        <v>0</v>
      </c>
    </row>
    <row r="41" spans="1:6" s="31" customFormat="1" ht="18" x14ac:dyDescent="0.25">
      <c r="A41" s="51"/>
      <c r="B41" s="36" t="s">
        <v>54</v>
      </c>
      <c r="C41" s="59"/>
      <c r="D41" s="86"/>
      <c r="E41" s="56"/>
      <c r="F41" s="38">
        <f>SUM(F25:F40)</f>
        <v>0</v>
      </c>
    </row>
    <row r="42" spans="1:6" s="84" customFormat="1" ht="13.8" x14ac:dyDescent="0.25">
      <c r="A42" s="72" t="s">
        <v>53</v>
      </c>
      <c r="B42" s="85" t="s">
        <v>52</v>
      </c>
      <c r="C42" s="74"/>
      <c r="D42" s="73"/>
      <c r="E42" s="56"/>
      <c r="F42" s="72"/>
    </row>
    <row r="43" spans="1:6" s="31" customFormat="1" ht="27.6" x14ac:dyDescent="0.25">
      <c r="A43" s="61" t="s">
        <v>51</v>
      </c>
      <c r="B43" s="62" t="s">
        <v>50</v>
      </c>
      <c r="C43" s="61" t="s">
        <v>4</v>
      </c>
      <c r="D43" s="60">
        <v>2</v>
      </c>
      <c r="E43" s="56"/>
      <c r="F43" s="56">
        <f>D43*E43</f>
        <v>0</v>
      </c>
    </row>
    <row r="44" spans="1:6" s="31" customFormat="1" ht="27.6" x14ac:dyDescent="0.25">
      <c r="A44" s="61" t="s">
        <v>49</v>
      </c>
      <c r="B44" s="62" t="s">
        <v>26</v>
      </c>
      <c r="C44" s="61" t="s">
        <v>4</v>
      </c>
      <c r="D44" s="60">
        <v>1</v>
      </c>
      <c r="E44" s="56"/>
      <c r="F44" s="56">
        <f>D44*E44</f>
        <v>0</v>
      </c>
    </row>
    <row r="45" spans="1:6" s="31" customFormat="1" ht="27.6" x14ac:dyDescent="0.25">
      <c r="A45" s="61" t="s">
        <v>48</v>
      </c>
      <c r="B45" s="62" t="s">
        <v>47</v>
      </c>
      <c r="C45" s="61" t="s">
        <v>15</v>
      </c>
      <c r="D45" s="60">
        <v>2</v>
      </c>
      <c r="E45" s="56"/>
      <c r="F45" s="56">
        <f>D45*E45</f>
        <v>0</v>
      </c>
    </row>
    <row r="46" spans="1:6" s="31" customFormat="1" ht="13.8" x14ac:dyDescent="0.25">
      <c r="A46" s="43"/>
      <c r="B46" s="42" t="s">
        <v>46</v>
      </c>
      <c r="C46" s="41"/>
      <c r="D46" s="40"/>
      <c r="E46" s="39"/>
      <c r="F46" s="38">
        <f>F45+F44+F43</f>
        <v>0</v>
      </c>
    </row>
    <row r="47" spans="1:6" s="31" customFormat="1" ht="13.8" x14ac:dyDescent="0.25">
      <c r="A47" s="81" t="s">
        <v>45</v>
      </c>
      <c r="B47" s="80" t="s">
        <v>44</v>
      </c>
      <c r="C47" s="79"/>
      <c r="D47" s="78"/>
      <c r="E47" s="77"/>
      <c r="F47" s="76"/>
    </row>
    <row r="48" spans="1:6" s="31" customFormat="1" ht="27.6" x14ac:dyDescent="0.25">
      <c r="A48" s="37" t="s">
        <v>43</v>
      </c>
      <c r="B48" s="62" t="s">
        <v>42</v>
      </c>
      <c r="C48" s="61" t="s">
        <v>4</v>
      </c>
      <c r="D48" s="60">
        <v>5</v>
      </c>
      <c r="E48" s="56"/>
      <c r="F48" s="45">
        <f>D48*E48</f>
        <v>0</v>
      </c>
    </row>
    <row r="49" spans="1:6" s="31" customFormat="1" ht="27.6" x14ac:dyDescent="0.25">
      <c r="A49" s="37" t="s">
        <v>41</v>
      </c>
      <c r="B49" s="62" t="s">
        <v>40</v>
      </c>
      <c r="C49" s="83" t="s">
        <v>4</v>
      </c>
      <c r="D49" s="82">
        <v>1</v>
      </c>
      <c r="E49" s="56"/>
      <c r="F49" s="45">
        <f>D49*E49</f>
        <v>0</v>
      </c>
    </row>
    <row r="50" spans="1:6" s="31" customFormat="1" ht="27.6" x14ac:dyDescent="0.25">
      <c r="A50" s="37" t="s">
        <v>39</v>
      </c>
      <c r="B50" s="62" t="s">
        <v>38</v>
      </c>
      <c r="C50" s="83" t="s">
        <v>4</v>
      </c>
      <c r="D50" s="82">
        <v>6</v>
      </c>
      <c r="E50" s="56"/>
      <c r="F50" s="45">
        <f>D50*E50</f>
        <v>0</v>
      </c>
    </row>
    <row r="51" spans="1:6" s="31" customFormat="1" ht="13.8" hidden="1" x14ac:dyDescent="0.25">
      <c r="A51" s="43"/>
      <c r="B51" s="42"/>
      <c r="C51" s="41"/>
      <c r="D51" s="40"/>
      <c r="E51" s="39"/>
      <c r="F51" s="38"/>
    </row>
    <row r="52" spans="1:6" s="31" customFormat="1" ht="13.8" x14ac:dyDescent="0.25">
      <c r="A52" s="61"/>
      <c r="B52" s="42" t="s">
        <v>37</v>
      </c>
      <c r="C52" s="61"/>
      <c r="D52" s="60"/>
      <c r="E52" s="56"/>
      <c r="F52" s="67">
        <f>SUM(F48:F51)</f>
        <v>0</v>
      </c>
    </row>
    <row r="53" spans="1:6" s="31" customFormat="1" ht="13.8" x14ac:dyDescent="0.25">
      <c r="A53" s="81" t="s">
        <v>36</v>
      </c>
      <c r="B53" s="80" t="s">
        <v>35</v>
      </c>
      <c r="C53" s="79"/>
      <c r="D53" s="78"/>
      <c r="E53" s="77"/>
      <c r="F53" s="76"/>
    </row>
    <row r="54" spans="1:6" s="31" customFormat="1" ht="27.6" x14ac:dyDescent="0.25">
      <c r="A54" s="37" t="s">
        <v>34</v>
      </c>
      <c r="B54" s="62" t="s">
        <v>33</v>
      </c>
      <c r="C54" s="61" t="s">
        <v>30</v>
      </c>
      <c r="D54" s="60">
        <f>(1.35*7*2+9.65*2)*1.6</f>
        <v>61.120000000000005</v>
      </c>
      <c r="E54" s="56"/>
      <c r="F54" s="45">
        <f>D54*E54</f>
        <v>0</v>
      </c>
    </row>
    <row r="55" spans="1:6" s="31" customFormat="1" ht="27.6" x14ac:dyDescent="0.25">
      <c r="A55" s="37" t="s">
        <v>32</v>
      </c>
      <c r="B55" s="62" t="s">
        <v>31</v>
      </c>
      <c r="C55" s="61" t="s">
        <v>30</v>
      </c>
      <c r="D55" s="60">
        <f>1.35*2+1.35*1.2*4+1.35*1.8</f>
        <v>11.61</v>
      </c>
      <c r="E55" s="56"/>
      <c r="F55" s="45">
        <f>D55*E55</f>
        <v>0</v>
      </c>
    </row>
    <row r="56" spans="1:6" s="31" customFormat="1" ht="13.8" x14ac:dyDescent="0.25">
      <c r="A56" s="61"/>
      <c r="B56" s="42" t="s">
        <v>29</v>
      </c>
      <c r="C56" s="61"/>
      <c r="D56" s="60"/>
      <c r="E56" s="56"/>
      <c r="F56" s="67">
        <f>SUM(F54:F55)</f>
        <v>0</v>
      </c>
    </row>
    <row r="57" spans="1:6" s="31" customFormat="1" ht="13.8" x14ac:dyDescent="0.25">
      <c r="A57" s="72" t="s">
        <v>28</v>
      </c>
      <c r="B57" s="75" t="s">
        <v>27</v>
      </c>
      <c r="C57" s="74"/>
      <c r="D57" s="73"/>
      <c r="E57" s="56"/>
      <c r="F57" s="72"/>
    </row>
    <row r="58" spans="1:6" s="31" customFormat="1" ht="27.6" x14ac:dyDescent="0.25">
      <c r="A58" s="61">
        <v>8.1</v>
      </c>
      <c r="B58" s="62" t="s">
        <v>26</v>
      </c>
      <c r="C58" s="61" t="s">
        <v>4</v>
      </c>
      <c r="D58" s="60">
        <v>4</v>
      </c>
      <c r="E58" s="56"/>
      <c r="F58" s="56">
        <f>D58*E58</f>
        <v>0</v>
      </c>
    </row>
    <row r="59" spans="1:6" s="31" customFormat="1" ht="27.6" x14ac:dyDescent="0.25">
      <c r="A59" s="70">
        <v>8.1999999999999993</v>
      </c>
      <c r="B59" s="71" t="s">
        <v>25</v>
      </c>
      <c r="C59" s="70" t="s">
        <v>4</v>
      </c>
      <c r="D59" s="69">
        <v>2</v>
      </c>
      <c r="E59" s="68"/>
      <c r="F59" s="68">
        <f>D59*E59</f>
        <v>0</v>
      </c>
    </row>
    <row r="60" spans="1:6" s="31" customFormat="1" ht="13.8" x14ac:dyDescent="0.25">
      <c r="A60" s="61"/>
      <c r="B60" s="42" t="s">
        <v>24</v>
      </c>
      <c r="C60" s="61"/>
      <c r="D60" s="60"/>
      <c r="E60" s="56"/>
      <c r="F60" s="67">
        <f>SUM(F58:F59)</f>
        <v>0</v>
      </c>
    </row>
    <row r="61" spans="1:6" s="31" customFormat="1" ht="13.8" x14ac:dyDescent="0.25">
      <c r="A61" s="65"/>
      <c r="B61" s="66"/>
      <c r="C61" s="65"/>
      <c r="D61" s="64"/>
      <c r="E61" s="16"/>
      <c r="F61" s="63"/>
    </row>
    <row r="62" spans="1:6" s="31" customFormat="1" ht="13.8" x14ac:dyDescent="0.25">
      <c r="A62" s="61"/>
      <c r="B62" s="62"/>
      <c r="C62" s="61"/>
      <c r="D62" s="60"/>
      <c r="E62" s="56"/>
      <c r="F62" s="56"/>
    </row>
    <row r="63" spans="1:6" s="31" customFormat="1" ht="13.8" x14ac:dyDescent="0.25">
      <c r="A63" s="51" t="s">
        <v>23</v>
      </c>
      <c r="B63" s="50" t="s">
        <v>22</v>
      </c>
      <c r="C63" s="59"/>
      <c r="D63" s="58"/>
      <c r="E63" s="38"/>
      <c r="F63" s="57"/>
    </row>
    <row r="64" spans="1:6" s="31" customFormat="1" ht="13.8" x14ac:dyDescent="0.25">
      <c r="A64" s="37" t="s">
        <v>21</v>
      </c>
      <c r="B64" s="49" t="s">
        <v>20</v>
      </c>
      <c r="C64" s="53" t="s">
        <v>15</v>
      </c>
      <c r="D64" s="54">
        <v>22.5</v>
      </c>
      <c r="E64" s="56"/>
      <c r="F64" s="55">
        <f>D64*E64</f>
        <v>0</v>
      </c>
    </row>
    <row r="65" spans="1:6" s="31" customFormat="1" ht="41.4" x14ac:dyDescent="0.25">
      <c r="A65" s="37" t="s">
        <v>19</v>
      </c>
      <c r="B65" s="49" t="s">
        <v>18</v>
      </c>
      <c r="C65" s="53" t="s">
        <v>15</v>
      </c>
      <c r="D65" s="54">
        <v>20</v>
      </c>
      <c r="E65" s="56"/>
      <c r="F65" s="55">
        <f>D65*E65</f>
        <v>0</v>
      </c>
    </row>
    <row r="66" spans="1:6" s="31" customFormat="1" ht="13.8" x14ac:dyDescent="0.25">
      <c r="A66" s="37" t="s">
        <v>17</v>
      </c>
      <c r="B66" s="49" t="s">
        <v>16</v>
      </c>
      <c r="C66" s="53" t="s">
        <v>15</v>
      </c>
      <c r="D66" s="54">
        <f>6.5*0.6</f>
        <v>3.9</v>
      </c>
      <c r="E66" s="53"/>
      <c r="F66" s="55">
        <f>D66*E66</f>
        <v>0</v>
      </c>
    </row>
    <row r="67" spans="1:6" s="31" customFormat="1" ht="13.8" x14ac:dyDescent="0.25">
      <c r="A67" s="37"/>
      <c r="B67" s="42" t="s">
        <v>14</v>
      </c>
      <c r="C67" s="53"/>
      <c r="D67" s="54"/>
      <c r="E67" s="53"/>
      <c r="F67" s="52">
        <f>SUM(F64:F66)</f>
        <v>0</v>
      </c>
    </row>
    <row r="68" spans="1:6" s="31" customFormat="1" ht="13.8" x14ac:dyDescent="0.25">
      <c r="A68" s="51" t="s">
        <v>13</v>
      </c>
      <c r="B68" s="50" t="s">
        <v>12</v>
      </c>
      <c r="C68" s="35"/>
      <c r="D68" s="46"/>
      <c r="E68" s="45"/>
      <c r="F68" s="44"/>
    </row>
    <row r="69" spans="1:6" s="31" customFormat="1" ht="27.6" x14ac:dyDescent="0.25">
      <c r="A69" s="37" t="s">
        <v>11</v>
      </c>
      <c r="B69" s="49" t="s">
        <v>10</v>
      </c>
      <c r="C69" s="35" t="s">
        <v>7</v>
      </c>
      <c r="D69" s="48">
        <v>1</v>
      </c>
      <c r="E69" s="45"/>
      <c r="F69" s="44">
        <f>D69*E69</f>
        <v>0</v>
      </c>
    </row>
    <row r="70" spans="1:6" s="31" customFormat="1" ht="13.8" x14ac:dyDescent="0.25">
      <c r="A70" s="37" t="s">
        <v>9</v>
      </c>
      <c r="B70" s="49" t="s">
        <v>8</v>
      </c>
      <c r="C70" s="35" t="s">
        <v>7</v>
      </c>
      <c r="D70" s="48">
        <v>9</v>
      </c>
      <c r="E70" s="45"/>
      <c r="F70" s="44">
        <f>D70*E70</f>
        <v>0</v>
      </c>
    </row>
    <row r="71" spans="1:6" s="31" customFormat="1" ht="27.6" x14ac:dyDescent="0.25">
      <c r="A71" s="37" t="s">
        <v>6</v>
      </c>
      <c r="B71" s="47" t="s">
        <v>5</v>
      </c>
      <c r="C71" s="35" t="s">
        <v>4</v>
      </c>
      <c r="D71" s="46">
        <v>7</v>
      </c>
      <c r="E71" s="45"/>
      <c r="F71" s="44">
        <f>D71*E71</f>
        <v>0</v>
      </c>
    </row>
    <row r="72" spans="1:6" s="31" customFormat="1" ht="21.75" customHeight="1" x14ac:dyDescent="0.25">
      <c r="A72" s="43"/>
      <c r="B72" s="42" t="s">
        <v>3</v>
      </c>
      <c r="C72" s="41"/>
      <c r="D72" s="40"/>
      <c r="E72" s="39"/>
      <c r="F72" s="38">
        <f>SUM(F69:F71)</f>
        <v>0</v>
      </c>
    </row>
    <row r="73" spans="1:6" s="31" customFormat="1" ht="27.9" customHeight="1" x14ac:dyDescent="0.25">
      <c r="A73" s="37"/>
      <c r="B73" s="36" t="s">
        <v>2</v>
      </c>
      <c r="C73" s="35"/>
      <c r="D73" s="34"/>
      <c r="E73" s="33"/>
      <c r="F73" s="32">
        <f>SUM(F10,F20,F23,F41,F46,F52,F56,F60,F67,F72)</f>
        <v>0</v>
      </c>
    </row>
    <row r="74" spans="1:6" s="31" customFormat="1" ht="29.25" customHeight="1" x14ac:dyDescent="0.25">
      <c r="A74" s="37"/>
      <c r="B74" s="36" t="s">
        <v>1</v>
      </c>
      <c r="C74" s="35"/>
      <c r="D74" s="34"/>
      <c r="E74" s="33"/>
      <c r="F74" s="32">
        <f>F73*0.18</f>
        <v>0</v>
      </c>
    </row>
    <row r="75" spans="1:6" s="31" customFormat="1" ht="27.9" customHeight="1" x14ac:dyDescent="0.25">
      <c r="A75" s="37"/>
      <c r="B75" s="36" t="s">
        <v>0</v>
      </c>
      <c r="C75" s="35"/>
      <c r="D75" s="34"/>
      <c r="E75" s="33"/>
      <c r="F75" s="32">
        <f>F73+F74</f>
        <v>0</v>
      </c>
    </row>
    <row r="76" spans="1:6" s="30" customFormat="1" ht="13.8" x14ac:dyDescent="0.25">
      <c r="A76" s="18"/>
      <c r="B76" s="17"/>
      <c r="C76" s="23"/>
      <c r="D76" s="5"/>
      <c r="E76" s="16"/>
      <c r="F76" s="24"/>
    </row>
    <row r="77" spans="1:6" s="30" customFormat="1" ht="13.8" x14ac:dyDescent="0.25">
      <c r="A77" s="18"/>
      <c r="B77" s="17"/>
      <c r="C77" s="23"/>
      <c r="D77" s="5"/>
      <c r="E77" s="16"/>
      <c r="F77" s="24"/>
    </row>
    <row r="78" spans="1:6" s="29" customFormat="1" ht="13.8" x14ac:dyDescent="0.25">
      <c r="A78" s="18"/>
      <c r="B78" s="17"/>
      <c r="C78" s="23"/>
      <c r="D78" s="5"/>
      <c r="E78" s="16"/>
      <c r="F78" s="24">
        <f>+F73+'1-CDQE_Magasin stockage'!F68+'2-CDQE_Salle de réunion'!F48</f>
        <v>0</v>
      </c>
    </row>
    <row r="79" spans="1:6" s="29" customFormat="1" ht="13.8" x14ac:dyDescent="0.25">
      <c r="A79" s="18"/>
      <c r="B79" s="17"/>
      <c r="C79" s="23"/>
      <c r="D79" s="5"/>
      <c r="E79" s="16"/>
      <c r="F79" s="24"/>
    </row>
    <row r="80" spans="1:6" s="29" customFormat="1" ht="28.2" customHeight="1" x14ac:dyDescent="0.25">
      <c r="A80" s="18"/>
      <c r="B80" s="17"/>
      <c r="C80" s="23"/>
      <c r="D80" s="5"/>
      <c r="E80" s="16"/>
      <c r="F80" s="24"/>
    </row>
    <row r="81" spans="1:6" s="29" customFormat="1" ht="28.2" customHeight="1" x14ac:dyDescent="0.25">
      <c r="A81" s="18"/>
      <c r="B81" s="17"/>
      <c r="C81" s="23"/>
      <c r="D81" s="5"/>
      <c r="E81" s="16"/>
      <c r="F81" s="24"/>
    </row>
    <row r="82" spans="1:6" ht="13.8" x14ac:dyDescent="0.25">
      <c r="A82" s="18"/>
      <c r="B82" s="17"/>
      <c r="C82" s="23"/>
      <c r="D82" s="5"/>
      <c r="E82" s="16"/>
      <c r="F82" s="24"/>
    </row>
    <row r="83" spans="1:6" s="25" customFormat="1" ht="13.8" x14ac:dyDescent="0.25">
      <c r="A83" s="18"/>
      <c r="B83" s="28"/>
      <c r="C83" s="27"/>
      <c r="D83" s="26"/>
      <c r="E83" s="16"/>
      <c r="F83" s="15"/>
    </row>
    <row r="84" spans="1:6" ht="13.8" x14ac:dyDescent="0.25">
      <c r="A84" s="18"/>
      <c r="B84" s="17"/>
      <c r="C84" s="23"/>
      <c r="D84" s="5"/>
      <c r="E84" s="16"/>
      <c r="F84" s="24"/>
    </row>
    <row r="85" spans="1:6" ht="28.2" customHeight="1" x14ac:dyDescent="0.25">
      <c r="A85" s="13"/>
      <c r="B85" s="12"/>
      <c r="C85" s="11"/>
      <c r="D85" s="10"/>
      <c r="E85" s="9"/>
      <c r="F85" s="9"/>
    </row>
    <row r="86" spans="1:6" ht="28.2" customHeight="1" x14ac:dyDescent="0.25">
      <c r="A86" s="20"/>
      <c r="B86" s="19"/>
      <c r="C86" s="11"/>
      <c r="D86" s="10"/>
      <c r="E86" s="9"/>
      <c r="F86" s="9"/>
    </row>
    <row r="87" spans="1:6" ht="28.2" customHeight="1" x14ac:dyDescent="0.25">
      <c r="A87" s="21"/>
      <c r="B87" s="17"/>
      <c r="C87" s="23"/>
      <c r="D87" s="22"/>
      <c r="E87" s="21"/>
      <c r="F87" s="21"/>
    </row>
    <row r="88" spans="1:6" ht="28.2" customHeight="1" x14ac:dyDescent="0.25">
      <c r="A88" s="13"/>
      <c r="B88" s="12"/>
      <c r="C88" s="11"/>
      <c r="D88" s="10"/>
      <c r="E88" s="9"/>
      <c r="F88" s="9"/>
    </row>
    <row r="89" spans="1:6" ht="28.2" customHeight="1" x14ac:dyDescent="0.25">
      <c r="A89" s="13"/>
      <c r="B89" s="12"/>
      <c r="C89" s="11"/>
      <c r="D89" s="10"/>
      <c r="E89" s="9"/>
      <c r="F89" s="9"/>
    </row>
    <row r="90" spans="1:6" ht="28.2" customHeight="1" x14ac:dyDescent="0.25">
      <c r="A90" s="13"/>
      <c r="B90" s="12"/>
      <c r="C90" s="11"/>
      <c r="D90" s="10"/>
      <c r="E90" s="9"/>
      <c r="F90" s="9"/>
    </row>
    <row r="91" spans="1:6" ht="28.2" customHeight="1" x14ac:dyDescent="0.25">
      <c r="A91" s="13"/>
      <c r="B91" s="12"/>
      <c r="C91" s="11"/>
      <c r="D91" s="10"/>
      <c r="E91" s="9"/>
      <c r="F91" s="9"/>
    </row>
    <row r="92" spans="1:6" ht="28.2" customHeight="1" x14ac:dyDescent="0.25">
      <c r="A92" s="20"/>
      <c r="B92" s="19"/>
      <c r="C92" s="11"/>
      <c r="D92" s="10"/>
      <c r="E92" s="9"/>
      <c r="F92" s="9"/>
    </row>
    <row r="93" spans="1:6" s="14" customFormat="1" ht="28.2" customHeight="1" x14ac:dyDescent="0.25">
      <c r="A93" s="18"/>
      <c r="B93" s="17"/>
      <c r="C93" s="17"/>
      <c r="D93" s="5"/>
      <c r="E93" s="16"/>
      <c r="F93" s="15"/>
    </row>
    <row r="94" spans="1:6" s="14" customFormat="1" ht="28.2" customHeight="1" x14ac:dyDescent="0.25">
      <c r="A94" s="18"/>
      <c r="B94" s="17"/>
      <c r="C94" s="17"/>
      <c r="D94" s="5"/>
      <c r="E94" s="16"/>
      <c r="F94" s="15"/>
    </row>
    <row r="95" spans="1:6" ht="28.2" customHeight="1" x14ac:dyDescent="0.25">
      <c r="A95" s="13"/>
      <c r="B95" s="12"/>
      <c r="C95" s="11"/>
      <c r="D95" s="10"/>
      <c r="E95" s="9"/>
      <c r="F95" s="9"/>
    </row>
    <row r="96" spans="1:6" ht="31.2" customHeight="1" x14ac:dyDescent="0.25">
      <c r="A96" s="8"/>
      <c r="B96" s="7"/>
      <c r="C96" s="6"/>
      <c r="D96" s="5"/>
      <c r="E96" s="4"/>
      <c r="F96" s="4"/>
    </row>
  </sheetData>
  <mergeCells count="3">
    <mergeCell ref="A3:F3"/>
    <mergeCell ref="A4:F4"/>
    <mergeCell ref="A6:F6"/>
  </mergeCells>
  <printOptions horizontalCentered="1"/>
  <pageMargins left="0.47244094488188981" right="0.31496062992125984" top="0.27559055118110237" bottom="0.74803149606299213" header="0.51181102362204722" footer="0.51181102362204722"/>
  <pageSetup paperSize="9" orientation="portrait" horizontalDpi="4294967295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C6747-DB81-4F2E-8D8F-AE55FBD5D993}">
  <sheetPr>
    <tabColor rgb="FF00B0F0"/>
  </sheetPr>
  <dimension ref="A1:C33"/>
  <sheetViews>
    <sheetView view="pageBreakPreview" topLeftCell="A3" zoomScaleNormal="100" zoomScaleSheetLayoutView="100" zoomScalePageLayoutView="97" workbookViewId="0">
      <selection activeCell="C24" sqref="C24"/>
    </sheetView>
  </sheetViews>
  <sheetFormatPr baseColWidth="10" defaultRowHeight="13.2" x14ac:dyDescent="0.25"/>
  <cols>
    <col min="1" max="1" width="7.44140625" style="3" customWidth="1"/>
    <col min="2" max="2" width="66.33203125" customWidth="1"/>
    <col min="3" max="3" width="18.44140625" style="1" customWidth="1"/>
  </cols>
  <sheetData>
    <row r="1" spans="1:3" s="107" customFormat="1" ht="4.6500000000000004" hidden="1" customHeight="1" x14ac:dyDescent="0.25">
      <c r="A1" s="114"/>
      <c r="C1" s="112"/>
    </row>
    <row r="2" spans="1:3" s="107" customFormat="1" ht="9" hidden="1" customHeight="1" x14ac:dyDescent="0.25">
      <c r="A2" s="111"/>
      <c r="B2" s="110"/>
      <c r="C2" s="108"/>
    </row>
    <row r="3" spans="1:3" s="107" customFormat="1" ht="25.2" customHeight="1" x14ac:dyDescent="0.25">
      <c r="A3" s="158" t="s">
        <v>228</v>
      </c>
      <c r="B3" s="158"/>
      <c r="C3" s="158"/>
    </row>
    <row r="4" spans="1:3" s="107" customFormat="1" ht="25.2" customHeight="1" x14ac:dyDescent="0.25">
      <c r="A4" s="166"/>
      <c r="B4" s="166"/>
      <c r="C4" s="166"/>
    </row>
    <row r="5" spans="1:3" s="107" customFormat="1" ht="25.2" customHeight="1" x14ac:dyDescent="0.25">
      <c r="A5" s="142"/>
      <c r="B5" s="142"/>
      <c r="C5" s="142"/>
    </row>
    <row r="6" spans="1:3" s="106" customFormat="1" ht="30.6" customHeight="1" x14ac:dyDescent="0.25">
      <c r="A6" s="160" t="s">
        <v>232</v>
      </c>
      <c r="B6" s="161"/>
      <c r="C6" s="161"/>
    </row>
    <row r="7" spans="1:3" s="31" customFormat="1" ht="15.6" x14ac:dyDescent="0.3">
      <c r="A7" s="37" t="s">
        <v>120</v>
      </c>
      <c r="B7" s="144" t="s">
        <v>233</v>
      </c>
      <c r="C7" s="56">
        <f>+'1-CDQE_Magasin stockage'!F68</f>
        <v>0</v>
      </c>
    </row>
    <row r="8" spans="1:3" s="31" customFormat="1" ht="13.8" x14ac:dyDescent="0.25">
      <c r="A8" s="37" t="s">
        <v>115</v>
      </c>
      <c r="B8" s="49" t="s">
        <v>234</v>
      </c>
      <c r="C8" s="56">
        <f>+'2-CDQE_Salle de réunion'!F48</f>
        <v>0</v>
      </c>
    </row>
    <row r="9" spans="1:3" s="31" customFormat="1" ht="13.8" x14ac:dyDescent="0.25">
      <c r="A9" s="37" t="s">
        <v>97</v>
      </c>
      <c r="B9" s="49" t="s">
        <v>235</v>
      </c>
      <c r="C9" s="56">
        <f>+'3-CDQE_Latrines'!F73</f>
        <v>0</v>
      </c>
    </row>
    <row r="10" spans="1:3" s="31" customFormat="1" ht="27.9" customHeight="1" x14ac:dyDescent="0.25">
      <c r="A10" s="37"/>
      <c r="B10" s="36" t="s">
        <v>2</v>
      </c>
      <c r="C10" s="32">
        <f>SUM(C7:C9)</f>
        <v>0</v>
      </c>
    </row>
    <row r="11" spans="1:3" s="31" customFormat="1" ht="29.25" customHeight="1" x14ac:dyDescent="0.25">
      <c r="A11" s="37"/>
      <c r="B11" s="36" t="s">
        <v>1</v>
      </c>
      <c r="C11" s="32">
        <f>C10*0.18</f>
        <v>0</v>
      </c>
    </row>
    <row r="12" spans="1:3" s="31" customFormat="1" ht="27.9" customHeight="1" x14ac:dyDescent="0.25">
      <c r="A12" s="37"/>
      <c r="B12" s="36" t="s">
        <v>0</v>
      </c>
      <c r="C12" s="32">
        <f>C10+C11</f>
        <v>0</v>
      </c>
    </row>
    <row r="13" spans="1:3" s="30" customFormat="1" ht="13.8" x14ac:dyDescent="0.25">
      <c r="A13" s="18"/>
      <c r="B13" s="17"/>
      <c r="C13" s="24"/>
    </row>
    <row r="14" spans="1:3" s="30" customFormat="1" ht="13.8" x14ac:dyDescent="0.25">
      <c r="A14" s="18"/>
      <c r="B14" s="17"/>
      <c r="C14" s="24"/>
    </row>
    <row r="15" spans="1:3" s="29" customFormat="1" ht="13.8" x14ac:dyDescent="0.25">
      <c r="A15" s="18"/>
      <c r="B15" s="17"/>
      <c r="C15" s="24"/>
    </row>
    <row r="16" spans="1:3" s="29" customFormat="1" ht="13.8" x14ac:dyDescent="0.25">
      <c r="A16" s="18"/>
      <c r="B16" s="17"/>
      <c r="C16" s="24"/>
    </row>
    <row r="17" spans="1:3" s="29" customFormat="1" ht="28.2" customHeight="1" x14ac:dyDescent="0.25">
      <c r="A17" s="167" t="s">
        <v>236</v>
      </c>
      <c r="B17" s="167"/>
      <c r="C17" s="167"/>
    </row>
    <row r="18" spans="1:3" s="29" customFormat="1" ht="28.2" customHeight="1" x14ac:dyDescent="0.25">
      <c r="A18" s="18"/>
      <c r="B18" s="17"/>
      <c r="C18" s="24"/>
    </row>
    <row r="19" spans="1:3" ht="13.8" x14ac:dyDescent="0.25">
      <c r="A19" s="18"/>
      <c r="B19" s="17"/>
      <c r="C19" s="24"/>
    </row>
    <row r="20" spans="1:3" s="25" customFormat="1" ht="13.8" x14ac:dyDescent="0.25">
      <c r="A20" s="18"/>
      <c r="B20" s="28"/>
      <c r="C20" s="15"/>
    </row>
    <row r="21" spans="1:3" ht="13.8" x14ac:dyDescent="0.25">
      <c r="A21" s="18"/>
      <c r="B21" s="17"/>
      <c r="C21" s="24"/>
    </row>
    <row r="22" spans="1:3" ht="28.2" customHeight="1" x14ac:dyDescent="0.25">
      <c r="A22" s="13"/>
      <c r="B22" s="12"/>
      <c r="C22" s="9"/>
    </row>
    <row r="23" spans="1:3" ht="28.2" customHeight="1" x14ac:dyDescent="0.25">
      <c r="A23" s="20"/>
      <c r="B23" s="19"/>
      <c r="C23" s="9"/>
    </row>
    <row r="24" spans="1:3" ht="28.2" customHeight="1" x14ac:dyDescent="0.25">
      <c r="A24" s="21"/>
      <c r="B24" s="17"/>
      <c r="C24" s="21"/>
    </row>
    <row r="25" spans="1:3" ht="28.2" customHeight="1" x14ac:dyDescent="0.25">
      <c r="A25" s="13"/>
      <c r="B25" s="12"/>
      <c r="C25" s="9"/>
    </row>
    <row r="26" spans="1:3" ht="28.2" customHeight="1" x14ac:dyDescent="0.25">
      <c r="A26" s="13"/>
      <c r="B26" s="12"/>
      <c r="C26" s="9"/>
    </row>
    <row r="27" spans="1:3" ht="28.2" customHeight="1" x14ac:dyDescent="0.25">
      <c r="A27" s="13"/>
      <c r="B27" s="12"/>
      <c r="C27" s="9"/>
    </row>
    <row r="28" spans="1:3" ht="28.2" customHeight="1" x14ac:dyDescent="0.25">
      <c r="A28" s="13"/>
      <c r="B28" s="12"/>
      <c r="C28" s="9"/>
    </row>
    <row r="29" spans="1:3" ht="28.2" customHeight="1" x14ac:dyDescent="0.25">
      <c r="A29" s="20"/>
      <c r="B29" s="19"/>
      <c r="C29" s="9"/>
    </row>
    <row r="30" spans="1:3" s="14" customFormat="1" ht="28.2" customHeight="1" x14ac:dyDescent="0.25">
      <c r="A30" s="18"/>
      <c r="B30" s="17"/>
      <c r="C30" s="15"/>
    </row>
    <row r="31" spans="1:3" s="14" customFormat="1" ht="28.2" customHeight="1" x14ac:dyDescent="0.25">
      <c r="A31" s="18"/>
      <c r="B31" s="17"/>
      <c r="C31" s="15"/>
    </row>
    <row r="32" spans="1:3" ht="28.2" customHeight="1" x14ac:dyDescent="0.25">
      <c r="A32" s="13"/>
      <c r="B32" s="12"/>
      <c r="C32" s="9"/>
    </row>
    <row r="33" spans="1:3" ht="31.2" customHeight="1" x14ac:dyDescent="0.25">
      <c r="A33" s="8"/>
      <c r="B33" s="7"/>
      <c r="C33" s="4"/>
    </row>
  </sheetData>
  <mergeCells count="4">
    <mergeCell ref="A3:C3"/>
    <mergeCell ref="A4:C4"/>
    <mergeCell ref="A6:C6"/>
    <mergeCell ref="A17:C17"/>
  </mergeCells>
  <printOptions horizontalCentered="1"/>
  <pageMargins left="0.47244094488188981" right="0.31496062992125984" top="0.27559055118110237" bottom="0.74803149606299213" header="0.51181102362204722" footer="0.51181102362204722"/>
  <pageSetup paperSize="9" orientation="portrait" horizontalDpi="4294967295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7B7D3-3DDC-43FD-90B5-30EB95068440}">
  <dimension ref="A1:E66"/>
  <sheetViews>
    <sheetView view="pageBreakPreview" topLeftCell="A7" zoomScaleNormal="100" zoomScaleSheetLayoutView="100" workbookViewId="0">
      <selection activeCell="H15" sqref="H15"/>
    </sheetView>
  </sheetViews>
  <sheetFormatPr baseColWidth="10" defaultRowHeight="13.2" x14ac:dyDescent="0.25"/>
  <cols>
    <col min="1" max="1" width="7.44140625" style="3" customWidth="1"/>
    <col min="2" max="2" width="41.44140625" customWidth="1"/>
    <col min="3" max="3" width="5" customWidth="1"/>
    <col min="4" max="4" width="13.33203125" style="1" customWidth="1"/>
    <col min="5" max="5" width="28.6640625" customWidth="1"/>
  </cols>
  <sheetData>
    <row r="1" spans="1:5" s="107" customFormat="1" ht="6" customHeight="1" x14ac:dyDescent="0.25">
      <c r="A1" s="114"/>
    </row>
    <row r="2" spans="1:5" s="107" customFormat="1" ht="4.6500000000000004" hidden="1" customHeight="1" x14ac:dyDescent="0.25">
      <c r="A2" s="114"/>
    </row>
    <row r="3" spans="1:5" s="107" customFormat="1" ht="9" hidden="1" customHeight="1" x14ac:dyDescent="0.25">
      <c r="A3" s="111"/>
      <c r="B3" s="110"/>
      <c r="C3" s="110"/>
      <c r="D3" s="110"/>
      <c r="E3" s="110"/>
    </row>
    <row r="4" spans="1:5" s="30" customFormat="1" ht="25.2" customHeight="1" x14ac:dyDescent="0.25">
      <c r="A4" s="158" t="s">
        <v>228</v>
      </c>
      <c r="B4" s="158"/>
      <c r="C4" s="158"/>
      <c r="D4" s="158"/>
      <c r="E4" s="158"/>
    </row>
    <row r="5" spans="1:5" s="30" customFormat="1" ht="25.2" customHeight="1" x14ac:dyDescent="0.25">
      <c r="A5" s="159" t="s">
        <v>239</v>
      </c>
      <c r="B5" s="159"/>
      <c r="C5" s="159"/>
      <c r="D5" s="159"/>
      <c r="E5" s="159"/>
    </row>
    <row r="6" spans="1:5" s="30" customFormat="1" ht="25.2" customHeight="1" x14ac:dyDescent="0.25">
      <c r="A6" s="143"/>
      <c r="B6" s="143"/>
      <c r="C6" s="143"/>
      <c r="D6" s="143"/>
      <c r="E6" s="143"/>
    </row>
    <row r="7" spans="1:5" s="106" customFormat="1" ht="36.75" customHeight="1" x14ac:dyDescent="0.25">
      <c r="A7" s="160" t="s">
        <v>193</v>
      </c>
      <c r="B7" s="161"/>
      <c r="C7" s="161"/>
      <c r="D7" s="161"/>
      <c r="E7" s="161"/>
    </row>
    <row r="8" spans="1:5" s="30" customFormat="1" ht="28.2" customHeight="1" x14ac:dyDescent="0.25">
      <c r="A8" s="135" t="s">
        <v>126</v>
      </c>
      <c r="B8" s="105" t="s">
        <v>125</v>
      </c>
      <c r="C8" s="103" t="s">
        <v>124</v>
      </c>
      <c r="D8" s="103" t="s">
        <v>122</v>
      </c>
      <c r="E8" s="103" t="s">
        <v>237</v>
      </c>
    </row>
    <row r="9" spans="1:5" s="30" customFormat="1" ht="72.599999999999994" customHeight="1" x14ac:dyDescent="0.25">
      <c r="A9" s="154" t="s">
        <v>248</v>
      </c>
      <c r="B9" s="155" t="s">
        <v>249</v>
      </c>
      <c r="C9" s="150"/>
      <c r="D9" s="156"/>
      <c r="E9" s="150"/>
    </row>
    <row r="10" spans="1:5" s="30" customFormat="1" ht="28.2" customHeight="1" x14ac:dyDescent="0.25">
      <c r="A10" s="147" t="s">
        <v>240</v>
      </c>
      <c r="B10" s="146" t="s">
        <v>244</v>
      </c>
      <c r="C10" s="148" t="s">
        <v>243</v>
      </c>
      <c r="D10" s="149"/>
      <c r="E10" s="157"/>
    </row>
    <row r="11" spans="1:5" s="30" customFormat="1" ht="28.2" customHeight="1" x14ac:dyDescent="0.25">
      <c r="A11" s="147" t="s">
        <v>241</v>
      </c>
      <c r="B11" s="145" t="s">
        <v>242</v>
      </c>
      <c r="C11" s="148" t="s">
        <v>243</v>
      </c>
      <c r="D11" s="149"/>
      <c r="E11" s="157"/>
    </row>
    <row r="12" spans="1:5" s="30" customFormat="1" ht="28.2" customHeight="1" x14ac:dyDescent="0.25">
      <c r="A12" s="147" t="s">
        <v>245</v>
      </c>
      <c r="B12" s="145" t="s">
        <v>246</v>
      </c>
      <c r="C12" s="148" t="s">
        <v>7</v>
      </c>
      <c r="D12" s="149"/>
      <c r="E12" s="157"/>
    </row>
    <row r="13" spans="1:5" s="30" customFormat="1" ht="28.2" customHeight="1" x14ac:dyDescent="0.25">
      <c r="A13" s="151"/>
      <c r="B13" s="152"/>
      <c r="C13" s="153"/>
      <c r="D13" s="149"/>
      <c r="E13" s="157"/>
    </row>
    <row r="14" spans="1:5" s="30" customFormat="1" ht="28.2" customHeight="1" x14ac:dyDescent="0.25">
      <c r="A14" s="51" t="s">
        <v>120</v>
      </c>
      <c r="B14" s="102" t="s">
        <v>119</v>
      </c>
      <c r="C14" s="35"/>
      <c r="D14" s="45"/>
      <c r="E14" s="44"/>
    </row>
    <row r="15" spans="1:5" s="30" customFormat="1" ht="28.2" customHeight="1" x14ac:dyDescent="0.25">
      <c r="A15" s="37" t="s">
        <v>118</v>
      </c>
      <c r="B15" s="133" t="s">
        <v>192</v>
      </c>
      <c r="C15" s="98" t="s">
        <v>30</v>
      </c>
      <c r="D15" s="56"/>
      <c r="E15" s="44"/>
    </row>
    <row r="16" spans="1:5" s="30" customFormat="1" ht="28.2" customHeight="1" x14ac:dyDescent="0.25">
      <c r="A16" s="37" t="s">
        <v>191</v>
      </c>
      <c r="B16" s="133" t="s">
        <v>190</v>
      </c>
      <c r="C16" s="98" t="s">
        <v>4</v>
      </c>
      <c r="D16" s="44"/>
      <c r="E16" s="44"/>
    </row>
    <row r="17" spans="1:5" s="30" customFormat="1" ht="28.2" customHeight="1" x14ac:dyDescent="0.25">
      <c r="A17" s="37" t="s">
        <v>189</v>
      </c>
      <c r="B17" s="133" t="s">
        <v>188</v>
      </c>
      <c r="C17" s="98" t="s">
        <v>67</v>
      </c>
      <c r="D17" s="56"/>
      <c r="E17" s="44"/>
    </row>
    <row r="18" spans="1:5" s="30" customFormat="1" ht="28.2" customHeight="1" x14ac:dyDescent="0.25">
      <c r="A18" s="37" t="s">
        <v>187</v>
      </c>
      <c r="B18" s="133" t="s">
        <v>186</v>
      </c>
      <c r="C18" s="98" t="s">
        <v>67</v>
      </c>
      <c r="D18" s="56"/>
      <c r="E18" s="44"/>
    </row>
    <row r="19" spans="1:5" s="30" customFormat="1" ht="28.2" customHeight="1" x14ac:dyDescent="0.25">
      <c r="A19" s="37" t="s">
        <v>185</v>
      </c>
      <c r="B19" s="133" t="s">
        <v>184</v>
      </c>
      <c r="C19" s="98" t="s">
        <v>67</v>
      </c>
      <c r="D19" s="56"/>
      <c r="E19" s="44"/>
    </row>
    <row r="20" spans="1:5" s="30" customFormat="1" ht="28.2" customHeight="1" x14ac:dyDescent="0.25">
      <c r="A20" s="37" t="s">
        <v>183</v>
      </c>
      <c r="B20" s="133" t="s">
        <v>182</v>
      </c>
      <c r="C20" s="98" t="s">
        <v>67</v>
      </c>
      <c r="D20" s="56"/>
      <c r="E20" s="44"/>
    </row>
    <row r="21" spans="1:5" s="30" customFormat="1" ht="28.2" customHeight="1" x14ac:dyDescent="0.25">
      <c r="A21" s="37"/>
      <c r="B21" s="36"/>
      <c r="C21" s="59"/>
      <c r="D21" s="38"/>
      <c r="E21" s="117"/>
    </row>
    <row r="22" spans="1:5" s="31" customFormat="1" ht="28.2" customHeight="1" x14ac:dyDescent="0.25">
      <c r="A22" s="51" t="s">
        <v>115</v>
      </c>
      <c r="B22" s="99" t="s">
        <v>181</v>
      </c>
      <c r="C22" s="59"/>
      <c r="D22" s="38"/>
      <c r="E22" s="117"/>
    </row>
    <row r="23" spans="1:5" s="31" customFormat="1" ht="28.2" customHeight="1" x14ac:dyDescent="0.25">
      <c r="A23" s="37">
        <v>2.1</v>
      </c>
      <c r="B23" s="49" t="s">
        <v>180</v>
      </c>
      <c r="C23" s="98" t="s">
        <v>67</v>
      </c>
      <c r="D23" s="56"/>
      <c r="E23" s="44"/>
    </row>
    <row r="24" spans="1:5" s="30" customFormat="1" ht="27.6" x14ac:dyDescent="0.25">
      <c r="A24" s="37">
        <v>2.2000000000000002</v>
      </c>
      <c r="B24" s="49" t="s">
        <v>179</v>
      </c>
      <c r="C24" s="98" t="s">
        <v>67</v>
      </c>
      <c r="D24" s="56"/>
      <c r="E24" s="44"/>
    </row>
    <row r="25" spans="1:5" s="31" customFormat="1" ht="27.6" x14ac:dyDescent="0.25">
      <c r="A25" s="37">
        <v>2.2999999999999998</v>
      </c>
      <c r="B25" s="49" t="s">
        <v>178</v>
      </c>
      <c r="C25" s="98" t="s">
        <v>67</v>
      </c>
      <c r="D25" s="56"/>
      <c r="E25" s="44"/>
    </row>
    <row r="26" spans="1:5" s="30" customFormat="1" ht="13.8" x14ac:dyDescent="0.25">
      <c r="A26" s="37">
        <v>2.4</v>
      </c>
      <c r="B26" s="49" t="s">
        <v>177</v>
      </c>
      <c r="C26" s="98" t="s">
        <v>67</v>
      </c>
      <c r="D26" s="56"/>
      <c r="E26" s="44"/>
    </row>
    <row r="27" spans="1:5" s="29" customFormat="1" ht="27.6" x14ac:dyDescent="0.25">
      <c r="A27" s="37">
        <v>2.5</v>
      </c>
      <c r="B27" s="49" t="s">
        <v>176</v>
      </c>
      <c r="C27" s="98" t="s">
        <v>67</v>
      </c>
      <c r="D27" s="56"/>
      <c r="E27" s="44"/>
    </row>
    <row r="28" spans="1:5" s="29" customFormat="1" ht="27.6" x14ac:dyDescent="0.25">
      <c r="A28" s="37">
        <v>2.6</v>
      </c>
      <c r="B28" s="49" t="s">
        <v>175</v>
      </c>
      <c r="C28" s="98" t="s">
        <v>67</v>
      </c>
      <c r="D28" s="56"/>
      <c r="E28" s="44"/>
    </row>
    <row r="29" spans="1:5" s="29" customFormat="1" ht="28.2" customHeight="1" x14ac:dyDescent="0.25">
      <c r="A29" s="37">
        <v>2.7</v>
      </c>
      <c r="B29" s="49" t="s">
        <v>174</v>
      </c>
      <c r="C29" s="98" t="s">
        <v>67</v>
      </c>
      <c r="D29" s="56"/>
      <c r="E29" s="44"/>
    </row>
    <row r="30" spans="1:5" s="29" customFormat="1" ht="28.2" customHeight="1" x14ac:dyDescent="0.25">
      <c r="A30" s="37">
        <v>2.8</v>
      </c>
      <c r="B30" s="49" t="s">
        <v>173</v>
      </c>
      <c r="C30" s="98" t="s">
        <v>30</v>
      </c>
      <c r="D30" s="56"/>
      <c r="E30" s="44"/>
    </row>
    <row r="31" spans="1:5" ht="27.6" x14ac:dyDescent="0.25">
      <c r="A31" s="132" t="s">
        <v>172</v>
      </c>
      <c r="B31" s="49" t="s">
        <v>171</v>
      </c>
      <c r="C31" s="98" t="s">
        <v>67</v>
      </c>
      <c r="D31" s="56"/>
      <c r="E31" s="44"/>
    </row>
    <row r="32" spans="1:5" s="25" customFormat="1" ht="27.6" x14ac:dyDescent="0.25">
      <c r="A32" s="37" t="s">
        <v>170</v>
      </c>
      <c r="B32" s="131" t="s">
        <v>169</v>
      </c>
      <c r="C32" s="130" t="s">
        <v>30</v>
      </c>
      <c r="D32" s="56"/>
      <c r="E32" s="128"/>
    </row>
    <row r="33" spans="1:5" ht="27.6" x14ac:dyDescent="0.25">
      <c r="A33" s="37" t="s">
        <v>168</v>
      </c>
      <c r="B33" s="49" t="s">
        <v>167</v>
      </c>
      <c r="C33" s="98" t="s">
        <v>67</v>
      </c>
      <c r="D33" s="56"/>
      <c r="E33" s="44"/>
    </row>
    <row r="34" spans="1:5" ht="28.2" customHeight="1" x14ac:dyDescent="0.25">
      <c r="A34" s="127"/>
      <c r="B34" s="36"/>
      <c r="C34" s="59"/>
      <c r="D34" s="38"/>
      <c r="E34" s="117"/>
    </row>
    <row r="35" spans="1:5" ht="28.2" customHeight="1" x14ac:dyDescent="0.25">
      <c r="A35" s="51" t="s">
        <v>97</v>
      </c>
      <c r="B35" s="99" t="s">
        <v>166</v>
      </c>
      <c r="C35" s="59"/>
      <c r="D35" s="38"/>
      <c r="E35" s="117"/>
    </row>
    <row r="36" spans="1:5" s="14" customFormat="1" ht="28.2" customHeight="1" x14ac:dyDescent="0.25">
      <c r="A36" s="37" t="s">
        <v>165</v>
      </c>
      <c r="B36" s="49" t="s">
        <v>164</v>
      </c>
      <c r="C36" s="49" t="s">
        <v>30</v>
      </c>
      <c r="D36" s="56"/>
      <c r="E36" s="128"/>
    </row>
    <row r="37" spans="1:5" s="14" customFormat="1" ht="28.2" customHeight="1" x14ac:dyDescent="0.25">
      <c r="A37" s="37" t="s">
        <v>163</v>
      </c>
      <c r="B37" s="49" t="s">
        <v>162</v>
      </c>
      <c r="C37" s="49" t="s">
        <v>15</v>
      </c>
      <c r="D37" s="56"/>
      <c r="E37" s="128"/>
    </row>
    <row r="38" spans="1:5" ht="28.2" customHeight="1" x14ac:dyDescent="0.25">
      <c r="A38" s="127"/>
      <c r="B38" s="36" t="s">
        <v>93</v>
      </c>
      <c r="C38" s="59"/>
      <c r="D38" s="38"/>
      <c r="E38" s="117">
        <f>SUM(E36:E37)</f>
        <v>0</v>
      </c>
    </row>
    <row r="39" spans="1:5" ht="31.2" customHeight="1" x14ac:dyDescent="0.25">
      <c r="A39" s="81" t="s">
        <v>92</v>
      </c>
      <c r="B39" s="80" t="s">
        <v>44</v>
      </c>
      <c r="C39" s="79"/>
      <c r="D39" s="77"/>
      <c r="E39" s="76"/>
    </row>
    <row r="40" spans="1:5" ht="27.6" x14ac:dyDescent="0.25">
      <c r="A40" s="126">
        <v>4.0999999999999996</v>
      </c>
      <c r="B40" s="125" t="s">
        <v>161</v>
      </c>
      <c r="C40" s="98" t="s">
        <v>4</v>
      </c>
      <c r="D40" s="124"/>
      <c r="E40" s="123"/>
    </row>
    <row r="41" spans="1:5" ht="27.6" x14ac:dyDescent="0.25">
      <c r="A41" s="126">
        <v>4.2</v>
      </c>
      <c r="B41" s="125" t="s">
        <v>160</v>
      </c>
      <c r="C41" s="98" t="s">
        <v>4</v>
      </c>
      <c r="D41" s="124"/>
      <c r="E41" s="123"/>
    </row>
    <row r="42" spans="1:5" ht="28.2" customHeight="1" x14ac:dyDescent="0.25">
      <c r="A42" s="126" t="s">
        <v>84</v>
      </c>
      <c r="B42" s="125" t="s">
        <v>159</v>
      </c>
      <c r="C42" s="98" t="s">
        <v>4</v>
      </c>
      <c r="D42" s="124"/>
      <c r="E42" s="123"/>
    </row>
    <row r="43" spans="1:5" ht="28.2" customHeight="1" x14ac:dyDescent="0.25">
      <c r="A43" s="122"/>
      <c r="B43" s="121" t="s">
        <v>46</v>
      </c>
      <c r="C43" s="98"/>
      <c r="D43" s="77"/>
      <c r="E43" s="76"/>
    </row>
    <row r="44" spans="1:5" ht="28.2" customHeight="1" x14ac:dyDescent="0.25">
      <c r="A44" s="51" t="s">
        <v>158</v>
      </c>
      <c r="B44" s="50" t="s">
        <v>12</v>
      </c>
      <c r="C44" s="35"/>
      <c r="D44" s="45"/>
      <c r="E44" s="44"/>
    </row>
    <row r="45" spans="1:5" ht="28.2" customHeight="1" x14ac:dyDescent="0.25">
      <c r="A45" s="37">
        <v>5.0999999999999996</v>
      </c>
      <c r="B45" s="49" t="s">
        <v>157</v>
      </c>
      <c r="C45" s="35" t="s">
        <v>7</v>
      </c>
      <c r="D45" s="45"/>
      <c r="E45" s="44"/>
    </row>
    <row r="46" spans="1:5" ht="28.2" customHeight="1" x14ac:dyDescent="0.25">
      <c r="A46" s="37" t="s">
        <v>49</v>
      </c>
      <c r="B46" s="47" t="s">
        <v>156</v>
      </c>
      <c r="C46" s="35" t="s">
        <v>4</v>
      </c>
      <c r="D46" s="45"/>
      <c r="E46" s="44"/>
    </row>
    <row r="47" spans="1:5" ht="28.2" customHeight="1" x14ac:dyDescent="0.25">
      <c r="A47" s="37" t="s">
        <v>48</v>
      </c>
      <c r="B47" s="47" t="s">
        <v>155</v>
      </c>
      <c r="C47" s="35" t="s">
        <v>4</v>
      </c>
      <c r="D47" s="45"/>
      <c r="E47" s="44"/>
    </row>
    <row r="48" spans="1:5" ht="27.6" x14ac:dyDescent="0.25">
      <c r="A48" s="37" t="s">
        <v>48</v>
      </c>
      <c r="B48" s="47" t="s">
        <v>154</v>
      </c>
      <c r="C48" s="35" t="s">
        <v>4</v>
      </c>
      <c r="D48" s="45"/>
      <c r="E48" s="44"/>
    </row>
    <row r="49" spans="1:5" ht="27.6" x14ac:dyDescent="0.25">
      <c r="A49" s="37" t="s">
        <v>153</v>
      </c>
      <c r="B49" s="47" t="s">
        <v>152</v>
      </c>
      <c r="C49" s="35" t="s">
        <v>4</v>
      </c>
      <c r="D49" s="45"/>
      <c r="E49" s="44"/>
    </row>
    <row r="50" spans="1:5" ht="28.2" customHeight="1" x14ac:dyDescent="0.25">
      <c r="A50" s="37"/>
      <c r="B50" s="36" t="s">
        <v>37</v>
      </c>
      <c r="C50" s="59"/>
      <c r="D50" s="38"/>
      <c r="E50" s="117"/>
    </row>
    <row r="51" spans="1:5" ht="28.2" customHeight="1" x14ac:dyDescent="0.25">
      <c r="A51" s="51" t="s">
        <v>45</v>
      </c>
      <c r="B51" s="50" t="s">
        <v>151</v>
      </c>
      <c r="C51" s="35"/>
      <c r="D51" s="45"/>
      <c r="E51" s="44"/>
    </row>
    <row r="52" spans="1:5" ht="28.2" customHeight="1" x14ac:dyDescent="0.25">
      <c r="A52" s="37">
        <v>6.1</v>
      </c>
      <c r="B52" s="49" t="s">
        <v>150</v>
      </c>
      <c r="C52" s="35" t="s">
        <v>30</v>
      </c>
      <c r="D52" s="45"/>
      <c r="E52" s="44"/>
    </row>
    <row r="53" spans="1:5" ht="27.6" x14ac:dyDescent="0.25">
      <c r="A53" s="37">
        <v>6.2</v>
      </c>
      <c r="B53" s="49" t="s">
        <v>149</v>
      </c>
      <c r="C53" s="35" t="s">
        <v>30</v>
      </c>
      <c r="D53" s="45"/>
      <c r="E53" s="44"/>
    </row>
    <row r="54" spans="1:5" ht="28.2" customHeight="1" x14ac:dyDescent="0.25">
      <c r="A54" s="37"/>
      <c r="B54" s="36" t="s">
        <v>29</v>
      </c>
      <c r="C54" s="35"/>
      <c r="D54" s="45"/>
      <c r="E54" s="117"/>
    </row>
    <row r="55" spans="1:5" ht="28.2" customHeight="1" x14ac:dyDescent="0.25">
      <c r="A55" s="51" t="s">
        <v>36</v>
      </c>
      <c r="B55" s="119" t="s">
        <v>148</v>
      </c>
      <c r="C55" s="59"/>
      <c r="D55" s="38"/>
      <c r="E55" s="57"/>
    </row>
    <row r="56" spans="1:5" ht="27.6" x14ac:dyDescent="0.25">
      <c r="A56" s="37">
        <v>7.1</v>
      </c>
      <c r="B56" s="49" t="s">
        <v>147</v>
      </c>
      <c r="C56" s="35" t="s">
        <v>30</v>
      </c>
      <c r="D56" s="53"/>
      <c r="E56" s="55"/>
    </row>
    <row r="57" spans="1:5" ht="28.2" customHeight="1" x14ac:dyDescent="0.25">
      <c r="A57" s="37"/>
      <c r="B57" s="36" t="s">
        <v>29</v>
      </c>
      <c r="C57" s="35"/>
      <c r="D57" s="53"/>
      <c r="E57" s="52"/>
    </row>
    <row r="58" spans="1:5" ht="28.2" customHeight="1" x14ac:dyDescent="0.25">
      <c r="A58" s="51" t="s">
        <v>146</v>
      </c>
      <c r="B58" s="50" t="s">
        <v>22</v>
      </c>
      <c r="C58" s="59"/>
      <c r="D58" s="38"/>
      <c r="E58" s="57"/>
    </row>
    <row r="59" spans="1:5" ht="41.4" x14ac:dyDescent="0.25">
      <c r="A59" s="37" t="s">
        <v>145</v>
      </c>
      <c r="B59" s="49" t="s">
        <v>144</v>
      </c>
      <c r="C59" s="53" t="s">
        <v>15</v>
      </c>
      <c r="D59" s="53"/>
      <c r="E59" s="55"/>
    </row>
    <row r="60" spans="1:5" ht="28.2" customHeight="1" x14ac:dyDescent="0.25">
      <c r="A60" s="37" t="s">
        <v>143</v>
      </c>
      <c r="B60" s="49" t="s">
        <v>142</v>
      </c>
      <c r="C60" s="53" t="s">
        <v>15</v>
      </c>
      <c r="D60" s="53"/>
      <c r="E60" s="55"/>
    </row>
    <row r="61" spans="1:5" ht="28.2" customHeight="1" x14ac:dyDescent="0.25">
      <c r="A61" s="37" t="s">
        <v>141</v>
      </c>
      <c r="B61" s="49" t="s">
        <v>140</v>
      </c>
      <c r="C61" s="53" t="s">
        <v>139</v>
      </c>
      <c r="D61" s="53"/>
      <c r="E61" s="55"/>
    </row>
    <row r="62" spans="1:5" ht="41.4" x14ac:dyDescent="0.25">
      <c r="A62" s="37" t="s">
        <v>138</v>
      </c>
      <c r="B62" s="49" t="s">
        <v>137</v>
      </c>
      <c r="C62" s="53" t="s">
        <v>15</v>
      </c>
      <c r="D62" s="53"/>
      <c r="E62" s="55"/>
    </row>
    <row r="63" spans="1:5" ht="41.4" x14ac:dyDescent="0.25">
      <c r="A63" s="37" t="s">
        <v>136</v>
      </c>
      <c r="B63" s="49" t="s">
        <v>135</v>
      </c>
      <c r="C63" s="53" t="s">
        <v>30</v>
      </c>
      <c r="D63" s="53"/>
      <c r="E63" s="55"/>
    </row>
    <row r="64" spans="1:5" ht="27.6" x14ac:dyDescent="0.25">
      <c r="A64" s="37" t="s">
        <v>134</v>
      </c>
      <c r="B64" s="49" t="s">
        <v>133</v>
      </c>
      <c r="C64" s="53" t="s">
        <v>15</v>
      </c>
      <c r="D64" s="53"/>
      <c r="E64" s="55"/>
    </row>
    <row r="65" spans="1:5" ht="13.8" x14ac:dyDescent="0.25">
      <c r="A65" s="37" t="s">
        <v>132</v>
      </c>
      <c r="B65" s="49" t="s">
        <v>131</v>
      </c>
      <c r="C65" s="53" t="s">
        <v>15</v>
      </c>
      <c r="D65" s="53"/>
      <c r="E65" s="55"/>
    </row>
    <row r="66" spans="1:5" ht="13.8" x14ac:dyDescent="0.25">
      <c r="A66" s="37" t="s">
        <v>130</v>
      </c>
      <c r="B66" s="49" t="s">
        <v>16</v>
      </c>
      <c r="C66" s="53" t="s">
        <v>15</v>
      </c>
      <c r="D66" s="53"/>
      <c r="E66" s="55"/>
    </row>
  </sheetData>
  <mergeCells count="3">
    <mergeCell ref="A4:E4"/>
    <mergeCell ref="A5:E5"/>
    <mergeCell ref="A7:E7"/>
  </mergeCells>
  <printOptions horizontalCentered="1"/>
  <pageMargins left="0.47244094488188981" right="0.31496062992125984" top="0.27559055118110237" bottom="0.74803149606299213" header="0.51181102362204722" footer="0.51181102362204722"/>
  <pageSetup paperSize="9" orientation="portrait" horizontalDpi="4294967295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A21BF-6268-4136-8F84-CCFE83EE5B19}">
  <dimension ref="A1:E50"/>
  <sheetViews>
    <sheetView view="pageBreakPreview" zoomScaleNormal="100" zoomScaleSheetLayoutView="100" zoomScalePageLayoutView="105" workbookViewId="0">
      <selection activeCell="H20" sqref="H20"/>
    </sheetView>
  </sheetViews>
  <sheetFormatPr baseColWidth="10" defaultRowHeight="13.2" x14ac:dyDescent="0.25"/>
  <cols>
    <col min="1" max="1" width="7.44140625" style="3" customWidth="1"/>
    <col min="2" max="2" width="41.44140625" customWidth="1"/>
    <col min="3" max="3" width="5" customWidth="1"/>
    <col min="4" max="4" width="13.109375" style="1" customWidth="1"/>
    <col min="5" max="5" width="29.21875" customWidth="1"/>
  </cols>
  <sheetData>
    <row r="1" spans="1:5" s="107" customFormat="1" ht="6" customHeight="1" x14ac:dyDescent="0.25">
      <c r="A1" s="114"/>
    </row>
    <row r="2" spans="1:5" s="107" customFormat="1" ht="4.6500000000000004" hidden="1" customHeight="1" x14ac:dyDescent="0.25">
      <c r="A2" s="114"/>
    </row>
    <row r="3" spans="1:5" s="107" customFormat="1" ht="9" hidden="1" customHeight="1" x14ac:dyDescent="0.25">
      <c r="A3" s="111"/>
      <c r="B3" s="110"/>
      <c r="C3" s="110"/>
      <c r="D3" s="110"/>
      <c r="E3" s="110"/>
    </row>
    <row r="4" spans="1:5" s="30" customFormat="1" ht="25.2" customHeight="1" x14ac:dyDescent="0.25">
      <c r="A4" s="158" t="s">
        <v>228</v>
      </c>
      <c r="B4" s="158"/>
      <c r="C4" s="158"/>
      <c r="D4" s="158"/>
      <c r="E4" s="158"/>
    </row>
    <row r="5" spans="1:5" s="30" customFormat="1" ht="25.2" customHeight="1" x14ac:dyDescent="0.25">
      <c r="A5" s="159" t="s">
        <v>238</v>
      </c>
      <c r="B5" s="159"/>
      <c r="C5" s="159"/>
      <c r="D5" s="159"/>
      <c r="E5" s="159"/>
    </row>
    <row r="6" spans="1:5" s="30" customFormat="1" ht="25.2" customHeight="1" x14ac:dyDescent="0.25">
      <c r="A6" s="143"/>
      <c r="B6" s="143"/>
      <c r="C6" s="143"/>
      <c r="D6" s="143"/>
      <c r="E6" s="143"/>
    </row>
    <row r="7" spans="1:5" s="106" customFormat="1" ht="36.75" customHeight="1" x14ac:dyDescent="0.25">
      <c r="A7" s="160" t="s">
        <v>227</v>
      </c>
      <c r="B7" s="161"/>
      <c r="C7" s="161"/>
      <c r="D7" s="161"/>
      <c r="E7" s="161"/>
    </row>
    <row r="8" spans="1:5" s="30" customFormat="1" ht="28.2" customHeight="1" x14ac:dyDescent="0.25">
      <c r="A8" s="105" t="s">
        <v>126</v>
      </c>
      <c r="B8" s="105" t="s">
        <v>125</v>
      </c>
      <c r="C8" s="103" t="s">
        <v>124</v>
      </c>
      <c r="D8" s="103" t="s">
        <v>122</v>
      </c>
      <c r="E8" s="103" t="s">
        <v>237</v>
      </c>
    </row>
    <row r="9" spans="1:5" s="30" customFormat="1" ht="28.2" customHeight="1" x14ac:dyDescent="0.25">
      <c r="A9" s="51" t="s">
        <v>120</v>
      </c>
      <c r="B9" s="102" t="s">
        <v>119</v>
      </c>
      <c r="C9" s="35"/>
      <c r="D9" s="45"/>
      <c r="E9" s="44"/>
    </row>
    <row r="10" spans="1:5" s="30" customFormat="1" ht="28.2" customHeight="1" x14ac:dyDescent="0.25">
      <c r="A10" s="37" t="s">
        <v>118</v>
      </c>
      <c r="B10" s="133" t="s">
        <v>226</v>
      </c>
      <c r="C10" s="98" t="s">
        <v>30</v>
      </c>
      <c r="D10" s="56"/>
      <c r="E10" s="44"/>
    </row>
    <row r="11" spans="1:5" ht="28.2" customHeight="1" x14ac:dyDescent="0.25">
      <c r="A11" s="37" t="s">
        <v>191</v>
      </c>
      <c r="B11" s="49" t="s">
        <v>225</v>
      </c>
      <c r="C11" s="98" t="s">
        <v>67</v>
      </c>
      <c r="D11" s="44"/>
      <c r="E11" s="44"/>
    </row>
    <row r="12" spans="1:5" ht="28.2" customHeight="1" x14ac:dyDescent="0.25">
      <c r="A12" s="127"/>
      <c r="B12" s="36" t="s">
        <v>116</v>
      </c>
      <c r="C12" s="59"/>
      <c r="D12" s="38"/>
      <c r="E12" s="117"/>
    </row>
    <row r="13" spans="1:5" ht="28.2" customHeight="1" x14ac:dyDescent="0.25">
      <c r="A13" s="51" t="s">
        <v>115</v>
      </c>
      <c r="B13" s="102" t="s">
        <v>224</v>
      </c>
      <c r="C13" s="35"/>
      <c r="D13" s="45"/>
      <c r="E13" s="44"/>
    </row>
    <row r="14" spans="1:5" s="14" customFormat="1" ht="28.2" customHeight="1" x14ac:dyDescent="0.25">
      <c r="A14" s="37" t="s">
        <v>95</v>
      </c>
      <c r="B14" s="49" t="s">
        <v>223</v>
      </c>
      <c r="C14" s="49" t="s">
        <v>7</v>
      </c>
      <c r="D14" s="56"/>
      <c r="E14" s="128"/>
    </row>
    <row r="15" spans="1:5" ht="28.2" customHeight="1" x14ac:dyDescent="0.25">
      <c r="A15" s="127"/>
      <c r="B15" s="36"/>
      <c r="C15" s="59"/>
      <c r="D15" s="38"/>
      <c r="E15" s="117"/>
    </row>
    <row r="16" spans="1:5" ht="28.2" customHeight="1" x14ac:dyDescent="0.25">
      <c r="A16" s="51" t="s">
        <v>97</v>
      </c>
      <c r="B16" s="99" t="s">
        <v>166</v>
      </c>
      <c r="C16" s="59"/>
      <c r="D16" s="38"/>
      <c r="E16" s="117"/>
    </row>
    <row r="17" spans="1:5" ht="28.2" customHeight="1" x14ac:dyDescent="0.25">
      <c r="A17" s="37" t="s">
        <v>165</v>
      </c>
      <c r="B17" s="49" t="s">
        <v>175</v>
      </c>
      <c r="C17" s="98" t="s">
        <v>67</v>
      </c>
      <c r="D17" s="56"/>
      <c r="E17" s="44"/>
    </row>
    <row r="18" spans="1:5" ht="31.2" customHeight="1" x14ac:dyDescent="0.25">
      <c r="A18" s="37" t="s">
        <v>163</v>
      </c>
      <c r="B18" s="49" t="s">
        <v>222</v>
      </c>
      <c r="C18" s="49" t="s">
        <v>30</v>
      </c>
      <c r="D18" s="56"/>
      <c r="E18" s="128"/>
    </row>
    <row r="19" spans="1:5" ht="31.2" customHeight="1" x14ac:dyDescent="0.25">
      <c r="A19" s="37" t="s">
        <v>221</v>
      </c>
      <c r="B19" s="49" t="s">
        <v>220</v>
      </c>
      <c r="C19" s="49" t="s">
        <v>30</v>
      </c>
      <c r="D19" s="56"/>
      <c r="E19" s="128"/>
    </row>
    <row r="20" spans="1:5" ht="27.6" x14ac:dyDescent="0.25">
      <c r="A20" s="37" t="s">
        <v>219</v>
      </c>
      <c r="B20" s="49" t="s">
        <v>171</v>
      </c>
      <c r="C20" s="98" t="s">
        <v>67</v>
      </c>
      <c r="D20" s="56"/>
      <c r="E20" s="44"/>
    </row>
    <row r="21" spans="1:5" ht="27.6" x14ac:dyDescent="0.25">
      <c r="A21" s="37" t="s">
        <v>218</v>
      </c>
      <c r="B21" s="131" t="s">
        <v>169</v>
      </c>
      <c r="C21" s="130" t="s">
        <v>30</v>
      </c>
      <c r="D21" s="56"/>
      <c r="E21" s="128"/>
    </row>
    <row r="22" spans="1:5" ht="28.2" customHeight="1" x14ac:dyDescent="0.25">
      <c r="A22" s="127"/>
      <c r="B22" s="36" t="s">
        <v>93</v>
      </c>
      <c r="C22" s="59"/>
      <c r="D22" s="38"/>
      <c r="E22" s="117"/>
    </row>
    <row r="23" spans="1:5" ht="28.2" customHeight="1" x14ac:dyDescent="0.25">
      <c r="A23" s="81" t="s">
        <v>92</v>
      </c>
      <c r="B23" s="80" t="s">
        <v>217</v>
      </c>
      <c r="C23" s="79"/>
      <c r="D23" s="77"/>
      <c r="E23" s="76"/>
    </row>
    <row r="24" spans="1:5" ht="27.6" x14ac:dyDescent="0.25">
      <c r="A24" s="126" t="s">
        <v>90</v>
      </c>
      <c r="B24" s="125" t="s">
        <v>216</v>
      </c>
      <c r="C24" s="98" t="s">
        <v>4</v>
      </c>
      <c r="D24" s="124"/>
      <c r="E24" s="123"/>
    </row>
    <row r="25" spans="1:5" ht="28.2" customHeight="1" x14ac:dyDescent="0.25">
      <c r="A25" s="126" t="s">
        <v>88</v>
      </c>
      <c r="B25" s="125" t="s">
        <v>215</v>
      </c>
      <c r="C25" s="98" t="s">
        <v>4</v>
      </c>
      <c r="D25" s="124"/>
      <c r="E25" s="123"/>
    </row>
    <row r="26" spans="1:5" ht="28.2" customHeight="1" x14ac:dyDescent="0.25">
      <c r="A26" s="126" t="s">
        <v>86</v>
      </c>
      <c r="B26" s="125" t="s">
        <v>214</v>
      </c>
      <c r="C26" s="98" t="s">
        <v>15</v>
      </c>
      <c r="D26" s="124"/>
      <c r="E26" s="123"/>
    </row>
    <row r="27" spans="1:5" ht="28.2" customHeight="1" x14ac:dyDescent="0.25">
      <c r="A27" s="122"/>
      <c r="B27" s="121"/>
      <c r="C27" s="98"/>
      <c r="D27" s="77"/>
      <c r="E27" s="76"/>
    </row>
    <row r="28" spans="1:5" ht="28.2" customHeight="1" x14ac:dyDescent="0.25">
      <c r="A28" s="51" t="s">
        <v>158</v>
      </c>
      <c r="B28" s="50" t="s">
        <v>12</v>
      </c>
      <c r="C28" s="35"/>
      <c r="D28" s="45"/>
      <c r="E28" s="44"/>
    </row>
    <row r="29" spans="1:5" ht="28.2" customHeight="1" x14ac:dyDescent="0.25">
      <c r="A29" s="37" t="s">
        <v>51</v>
      </c>
      <c r="B29" s="49" t="s">
        <v>213</v>
      </c>
      <c r="C29" s="35" t="s">
        <v>7</v>
      </c>
      <c r="D29" s="45"/>
      <c r="E29" s="44"/>
    </row>
    <row r="30" spans="1:5" ht="28.2" customHeight="1" x14ac:dyDescent="0.25">
      <c r="A30" s="37" t="s">
        <v>49</v>
      </c>
      <c r="B30" s="49" t="s">
        <v>212</v>
      </c>
      <c r="C30" s="35" t="s">
        <v>4</v>
      </c>
      <c r="D30" s="45"/>
      <c r="E30" s="44"/>
    </row>
    <row r="31" spans="1:5" ht="28.2" customHeight="1" x14ac:dyDescent="0.25">
      <c r="A31" s="37" t="s">
        <v>48</v>
      </c>
      <c r="B31" s="49" t="s">
        <v>211</v>
      </c>
      <c r="C31" s="35" t="s">
        <v>4</v>
      </c>
      <c r="D31" s="45"/>
      <c r="E31" s="44"/>
    </row>
    <row r="32" spans="1:5" ht="28.2" customHeight="1" x14ac:dyDescent="0.25">
      <c r="A32" s="37" t="s">
        <v>153</v>
      </c>
      <c r="B32" s="49" t="s">
        <v>210</v>
      </c>
      <c r="C32" s="35" t="s">
        <v>4</v>
      </c>
      <c r="D32" s="45"/>
      <c r="E32" s="44"/>
    </row>
    <row r="33" spans="1:5" ht="28.2" customHeight="1" x14ac:dyDescent="0.25">
      <c r="A33" s="37" t="s">
        <v>209</v>
      </c>
      <c r="B33" s="49" t="s">
        <v>208</v>
      </c>
      <c r="C33" s="35" t="s">
        <v>4</v>
      </c>
      <c r="D33" s="45"/>
      <c r="E33" s="44"/>
    </row>
    <row r="34" spans="1:5" ht="28.2" customHeight="1" x14ac:dyDescent="0.25">
      <c r="A34" s="37" t="s">
        <v>207</v>
      </c>
      <c r="B34" s="49" t="s">
        <v>206</v>
      </c>
      <c r="C34" s="35" t="s">
        <v>7</v>
      </c>
      <c r="D34" s="45"/>
      <c r="E34" s="44"/>
    </row>
    <row r="35" spans="1:5" ht="28.2" customHeight="1" x14ac:dyDescent="0.25">
      <c r="A35" s="37"/>
      <c r="B35" s="36"/>
      <c r="C35" s="59"/>
      <c r="D35" s="38"/>
      <c r="E35" s="117"/>
    </row>
    <row r="36" spans="1:5" ht="13.8" x14ac:dyDescent="0.25">
      <c r="A36" s="51" t="s">
        <v>45</v>
      </c>
      <c r="B36" s="50" t="s">
        <v>22</v>
      </c>
      <c r="C36" s="59"/>
      <c r="D36" s="38"/>
      <c r="E36" s="57"/>
    </row>
    <row r="37" spans="1:5" ht="27.6" x14ac:dyDescent="0.25">
      <c r="A37" s="37" t="s">
        <v>43</v>
      </c>
      <c r="B37" s="49" t="s">
        <v>205</v>
      </c>
      <c r="C37" s="53" t="s">
        <v>15</v>
      </c>
      <c r="D37" s="45"/>
      <c r="E37" s="55"/>
    </row>
    <row r="38" spans="1:5" ht="28.2" customHeight="1" x14ac:dyDescent="0.25">
      <c r="A38" s="37" t="s">
        <v>41</v>
      </c>
      <c r="B38" s="49" t="s">
        <v>204</v>
      </c>
      <c r="C38" s="53" t="s">
        <v>139</v>
      </c>
      <c r="D38" s="45"/>
      <c r="E38" s="55"/>
    </row>
    <row r="39" spans="1:5" ht="13.8" x14ac:dyDescent="0.25">
      <c r="A39" s="37" t="s">
        <v>39</v>
      </c>
      <c r="B39" s="49" t="s">
        <v>16</v>
      </c>
      <c r="C39" s="53" t="s">
        <v>15</v>
      </c>
      <c r="D39" s="45"/>
      <c r="E39" s="55"/>
    </row>
    <row r="40" spans="1:5" ht="28.2" customHeight="1" x14ac:dyDescent="0.25">
      <c r="A40" s="37" t="s">
        <v>203</v>
      </c>
      <c r="B40" s="49" t="s">
        <v>142</v>
      </c>
      <c r="C40" s="53" t="s">
        <v>15</v>
      </c>
      <c r="D40" s="45"/>
      <c r="E40" s="55"/>
    </row>
    <row r="41" spans="1:5" ht="27.6" x14ac:dyDescent="0.25">
      <c r="A41" s="37" t="s">
        <v>202</v>
      </c>
      <c r="B41" s="49" t="s">
        <v>201</v>
      </c>
      <c r="C41" s="53" t="s">
        <v>30</v>
      </c>
      <c r="D41" s="45"/>
      <c r="E41" s="55"/>
    </row>
    <row r="42" spans="1:5" ht="28.2" customHeight="1" x14ac:dyDescent="0.25">
      <c r="A42" s="37"/>
      <c r="B42" s="36" t="s">
        <v>37</v>
      </c>
      <c r="C42" s="53"/>
      <c r="D42" s="53"/>
      <c r="E42" s="52"/>
    </row>
    <row r="43" spans="1:5" ht="28.2" customHeight="1" x14ac:dyDescent="0.25">
      <c r="A43" s="51" t="s">
        <v>36</v>
      </c>
      <c r="B43" s="50" t="s">
        <v>151</v>
      </c>
      <c r="C43" s="35"/>
      <c r="D43" s="45"/>
      <c r="E43" s="44"/>
    </row>
    <row r="44" spans="1:5" ht="28.2" customHeight="1" x14ac:dyDescent="0.25">
      <c r="A44" s="37" t="s">
        <v>34</v>
      </c>
      <c r="B44" s="49" t="s">
        <v>200</v>
      </c>
      <c r="C44" s="35" t="s">
        <v>30</v>
      </c>
      <c r="D44" s="45"/>
      <c r="E44" s="44"/>
    </row>
    <row r="45" spans="1:5" ht="40.799999999999997" customHeight="1" x14ac:dyDescent="0.25">
      <c r="A45" s="37" t="s">
        <v>32</v>
      </c>
      <c r="B45" s="49" t="s">
        <v>199</v>
      </c>
      <c r="C45" s="35" t="s">
        <v>30</v>
      </c>
      <c r="D45" s="45"/>
      <c r="E45" s="44"/>
    </row>
    <row r="46" spans="1:5" ht="28.2" customHeight="1" x14ac:dyDescent="0.25">
      <c r="A46" s="37" t="s">
        <v>198</v>
      </c>
      <c r="B46" s="49" t="s">
        <v>197</v>
      </c>
      <c r="C46" s="35" t="s">
        <v>30</v>
      </c>
      <c r="D46" s="45"/>
      <c r="E46" s="44"/>
    </row>
    <row r="50" spans="2:2" x14ac:dyDescent="0.25">
      <c r="B50" s="138"/>
    </row>
  </sheetData>
  <mergeCells count="3">
    <mergeCell ref="A4:E4"/>
    <mergeCell ref="A5:E5"/>
    <mergeCell ref="A7:E7"/>
  </mergeCells>
  <printOptions horizontalCentered="1"/>
  <pageMargins left="0.47244094488188981" right="0.31496062992125984" top="0.27559055118110237" bottom="0.75" header="0.51181102362204722" footer="0.51181102362204722"/>
  <pageSetup paperSize="9" orientation="portrait" horizontalDpi="4294967295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DB6DE8DA9F5B134CB8F62B604C7D5447" ma:contentTypeVersion="30" ma:contentTypeDescription="" ma:contentTypeScope="" ma:versionID="5cb1f0a472ce065eb58514e7f75185e3">
  <xsd:schema xmlns:xsd="http://www.w3.org/2001/XMLSchema" xmlns:xs="http://www.w3.org/2001/XMLSchema" xmlns:p="http://schemas.microsoft.com/office/2006/metadata/properties" xmlns:ns1="http://schemas.microsoft.com/sharepoint/v3" xmlns:ns2="1c89b6ff-5735-4b3c-9dca-50e80957a65b" xmlns:ns3="14a9c00f-d9e3-4eb9-aad3-f69239d17d9c" xmlns:ns4="508ba6eb-9e09-4fd5-92f2-2d9921329f2d" xmlns:ns5="017ef222-b715-482d-b25e-e029bead7086" targetNamespace="http://schemas.microsoft.com/office/2006/metadata/properties" ma:root="true" ma:fieldsID="09118cccbf28464a601651fc606f7011" ns1:_="" ns2:_="" ns3:_="" ns4:_="" ns5:_="">
    <xsd:import namespace="http://schemas.microsoft.com/sharepoint/v3"/>
    <xsd:import namespace="1c89b6ff-5735-4b3c-9dca-50e80957a65b"/>
    <xsd:import namespace="14a9c00f-d9e3-4eb9-aad3-f69239d17d9c"/>
    <xsd:import namespace="508ba6eb-9e09-4fd5-92f2-2d9921329f2d"/>
    <xsd:import namespace="017ef222-b715-482d-b25e-e029bead7086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LengthInSeconds" minOccurs="0"/>
                <xsd:element ref="ns5:lcf76f155ced4ddcb4097134ff3c332f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5:MediaServiceOCR" minOccurs="0"/>
                <xsd:element ref="ns1:_ip_UnifiedCompliancePolicyProperties" minOccurs="0"/>
                <xsd:element ref="ns1:_ip_UnifiedCompliancePolicyUIAction" minOccurs="0"/>
                <xsd:element ref="ns5:MediaServiceObjectDetectorVersions" minOccurs="0"/>
                <xsd:element ref="ns5:MediaServiceSearchProperties" minOccurs="0"/>
                <xsd:element ref="ns5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9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40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4c7a6b74-e0c3-46af-9e55-7dedf737cce8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4c7a6b74-e0c3-46af-9e55-7dedf737cce8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2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BFA|5c109890-987f-4e01-800e-8d3dbccbd13c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ef222-b715-482d-b25e-e029bead70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4" nillable="true" ma:taxonomy="true" ma:internalName="lcf76f155ced4ddcb4097134ff3c332f" ma:taxonomyFieldName="MediaServiceImageTags" ma:displayName="Balises d’image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MediaServiceOCR" ma:index="3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4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e2b781e9cad840cd89b90f5a7e989839 xmlns="14a9c00f-d9e3-4eb9-aad3-f69239d17d9c">
      <Terms xmlns="http://schemas.microsoft.com/office/infopath/2007/PartnerControls"/>
    </e2b781e9cad840cd89b90f5a7e989839>
    <lcf76f155ced4ddcb4097134ff3c332f xmlns="017ef222-b715-482d-b25e-e029bead7086">
      <Terms xmlns="http://schemas.microsoft.com/office/infopath/2007/PartnerControls"/>
    </lcf76f155ced4ddcb4097134ff3c332f>
    <TaxCatchAll xmlns="1c89b6ff-5735-4b3c-9dca-50e80957a65b">
      <Value>2</Value>
      <Value>1</Value>
    </TaxCatchAll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BFA</TermName>
          <TermId xmlns="http://schemas.microsoft.com/office/infopath/2007/PartnerControls">5c109890-987f-4e01-800e-8d3dbccbd13c</TermId>
        </TermInfo>
      </Terms>
    </jcd7455606374210a964e5d7a999097a>
    <_ip_UnifiedCompliancePolicyProperties xmlns="http://schemas.microsoft.com/sharepoint/v3" xsi:nil="true"/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/>
    </l9d65098618b4a8fbbe87718e7187e6b>
    <_dlc_DocId xmlns="508ba6eb-9e09-4fd5-92f2-2d9921329f2d">BFAENABEL-680963957-131789</_dlc_DocId>
    <_dlc_DocIdUrl xmlns="508ba6eb-9e09-4fd5-92f2-2d9921329f2d">
      <Url>https://enabelbe.sharepoint.com/sites/BFA/_layouts/15/DocIdRedir.aspx?ID=BFAENABEL-680963957-131789</Url>
      <Description>BFAENABEL-680963957-131789</Description>
    </_dlc_DocIdUrl>
  </documentManagement>
</p:properties>
</file>

<file path=customXml/itemProps1.xml><?xml version="1.0" encoding="utf-8"?>
<ds:datastoreItem xmlns:ds="http://schemas.openxmlformats.org/officeDocument/2006/customXml" ds:itemID="{FC0AC73F-B031-4EE2-985B-037E1272B6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AB4874-2218-41D5-94D8-89572FEB460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EE65D62-DE28-4FD3-AE77-964A7F5BD3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c89b6ff-5735-4b3c-9dca-50e80957a65b"/>
    <ds:schemaRef ds:uri="14a9c00f-d9e3-4eb9-aad3-f69239d17d9c"/>
    <ds:schemaRef ds:uri="508ba6eb-9e09-4fd5-92f2-2d9921329f2d"/>
    <ds:schemaRef ds:uri="017ef222-b715-482d-b25e-e029bead70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8073232-E01E-4171-96AC-02CEBE3DA63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4a9c00f-d9e3-4eb9-aad3-f69239d17d9c"/>
    <ds:schemaRef ds:uri="017ef222-b715-482d-b25e-e029bead7086"/>
    <ds:schemaRef ds:uri="1c89b6ff-5735-4b3c-9dca-50e80957a65b"/>
    <ds:schemaRef ds:uri="508ba6eb-9e09-4fd5-92f2-2d9921329f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11</vt:i4>
      </vt:variant>
    </vt:vector>
  </HeadingPairs>
  <TitlesOfParts>
    <vt:vector size="17" baseType="lpstr">
      <vt:lpstr>1-CDQE_Magasin stockage</vt:lpstr>
      <vt:lpstr>2-CDQE_Salle de réunion</vt:lpstr>
      <vt:lpstr>3-CDQE_Latrines</vt:lpstr>
      <vt:lpstr>CDQE_Recap</vt:lpstr>
      <vt:lpstr>1-CBPU_Magasin stockage</vt:lpstr>
      <vt:lpstr>2-CBPU_Salle de Réunion</vt:lpstr>
      <vt:lpstr>'1-CBPU_Magasin stockage'!Impression_des_titres</vt:lpstr>
      <vt:lpstr>'1-CDQE_Magasin stockage'!Impression_des_titres</vt:lpstr>
      <vt:lpstr>'2-CBPU_Salle de Réunion'!Impression_des_titres</vt:lpstr>
      <vt:lpstr>'2-CDQE_Salle de réunion'!Impression_des_titres</vt:lpstr>
      <vt:lpstr>'3-CDQE_Latrines'!Impression_des_titres</vt:lpstr>
      <vt:lpstr>CDQE_Recap!Impression_des_titres</vt:lpstr>
      <vt:lpstr>'1-CBPU_Magasin stockage'!Zone_d_impression</vt:lpstr>
      <vt:lpstr>'1-CDQE_Magasin stockage'!Zone_d_impression</vt:lpstr>
      <vt:lpstr>'2-CBPU_Salle de Réunion'!Zone_d_impression</vt:lpstr>
      <vt:lpstr>'2-CDQE_Salle de réunion'!Zone_d_impression</vt:lpstr>
      <vt:lpstr>'3-CDQE_Latrines'!Zone_d_impression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ROMBA, Jules</dc:creator>
  <cp:lastModifiedBy>HIEN, Hermann</cp:lastModifiedBy>
  <cp:lastPrinted>2026-01-13T17:15:00Z</cp:lastPrinted>
  <dcterms:created xsi:type="dcterms:W3CDTF">2026-01-13T16:45:19Z</dcterms:created>
  <dcterms:modified xsi:type="dcterms:W3CDTF">2026-01-30T14:21:48Z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0x01010084FDA68FEA25C847A6128BBA7C1A6EC100DB6DE8DA9F5B134CB8F62B604C7D5447</vt:lpwstr>
  </property>
  <property fmtid="{D5CDD505-2E9C-101B-9397-08002B2CF9AE}" pid="3" name="Document_Language">
    <vt:lpwstr>2;#FR|e5b11214-e6fc-4287-b1cb-b050c041462c</vt:lpwstr>
  </property>
  <property fmtid="{D5CDD505-2E9C-101B-9397-08002B2CF9AE}" pid="4" name="Country">
    <vt:lpwstr>1;#BFA|5c109890-987f-4e01-800e-8d3dbccbd13c</vt:lpwstr>
  </property>
  <property fmtid="{D5CDD505-2E9C-101B-9397-08002B2CF9AE}" pid="5" name="_dlc_DocIdItemGuid">
    <vt:lpwstr>5b2c2aa2-f42a-43bc-a772-68c54dbb473b</vt:lpwstr>
  </property>
  <property fmtid="{D5CDD505-2E9C-101B-9397-08002B2CF9AE}" pid="6" name="MediaServiceImageTags">
    <vt:lpwstr/>
  </property>
  <property fmtid="{D5CDD505-2E9C-101B-9397-08002B2CF9AE}" pid="7" name="Document_Type">
    <vt:lpwstr/>
  </property>
  <property fmtid="{D5CDD505-2E9C-101B-9397-08002B2CF9AE}" pid="8" name="Document_Status">
    <vt:lpwstr/>
  </property>
  <property fmtid="{D5CDD505-2E9C-101B-9397-08002B2CF9AE}" pid="9" name="Contract_reference">
    <vt:lpwstr/>
  </property>
  <property fmtid="{D5CDD505-2E9C-101B-9397-08002B2CF9AE}" pid="10" name="Project_code">
    <vt:lpwstr/>
  </property>
</Properties>
</file>