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BOKLATChico\OneDrive - ENABEL\Documents\Document\DOSSIERS MP\000\COORDINATION SUD UBANGI\COD22002-10358-Construction Latrines et bibliothèque\"/>
    </mc:Choice>
  </mc:AlternateContent>
  <xr:revisionPtr revIDLastSave="0" documentId="13_ncr:1_{95FFCB8C-4947-4C87-B4EA-3B085AEE627B}" xr6:coauthVersionLast="47" xr6:coauthVersionMax="47" xr10:uidLastSave="{00000000-0000-0000-0000-000000000000}"/>
  <bookViews>
    <workbookView xWindow="-110" yWindow="-110" windowWidth="19420" windowHeight="10300" tabRatio="672" xr2:uid="{40750DA4-76C0-4069-ABDE-1C5843ABC4D7}"/>
  </bookViews>
  <sheets>
    <sheet name="LOT 1" sheetId="11" r:id="rId1"/>
    <sheet name="Lot 2" sheetId="12" r:id="rId2"/>
    <sheet name="Lot 3" sheetId="1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3" i="13" l="1"/>
  <c r="F146" i="13" s="1"/>
  <c r="F135" i="13"/>
  <c r="F134" i="13"/>
  <c r="D133" i="13"/>
  <c r="F133" i="13" s="1"/>
  <c r="D132" i="13"/>
  <c r="F132" i="13" s="1"/>
  <c r="D131" i="13"/>
  <c r="F131" i="13" s="1"/>
  <c r="D130" i="13"/>
  <c r="F130" i="13" s="1"/>
  <c r="D129" i="13"/>
  <c r="F129" i="13" s="1"/>
  <c r="F123" i="13"/>
  <c r="F122" i="13"/>
  <c r="F124" i="13" s="1"/>
  <c r="D115" i="13"/>
  <c r="F115" i="13" s="1"/>
  <c r="D114" i="13"/>
  <c r="F114" i="13" s="1"/>
  <c r="F111" i="13"/>
  <c r="F110" i="13"/>
  <c r="F109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1" i="13"/>
  <c r="F90" i="13"/>
  <c r="F89" i="13"/>
  <c r="F88" i="13"/>
  <c r="F87" i="13"/>
  <c r="F86" i="13"/>
  <c r="F85" i="13"/>
  <c r="F84" i="13"/>
  <c r="F83" i="13"/>
  <c r="F106" i="13" s="1"/>
  <c r="F78" i="13"/>
  <c r="F77" i="13"/>
  <c r="D76" i="13"/>
  <c r="F76" i="13" s="1"/>
  <c r="D75" i="13"/>
  <c r="F75" i="13" s="1"/>
  <c r="D74" i="13"/>
  <c r="F74" i="13" s="1"/>
  <c r="F71" i="13"/>
  <c r="F70" i="13"/>
  <c r="F69" i="13"/>
  <c r="F67" i="13"/>
  <c r="F66" i="13"/>
  <c r="F65" i="13"/>
  <c r="D59" i="13"/>
  <c r="F59" i="13" s="1"/>
  <c r="F58" i="13"/>
  <c r="F57" i="13"/>
  <c r="F56" i="13"/>
  <c r="D55" i="13"/>
  <c r="F55" i="13" s="1"/>
  <c r="F54" i="13"/>
  <c r="D54" i="13"/>
  <c r="F49" i="13"/>
  <c r="D49" i="13"/>
  <c r="D48" i="13"/>
  <c r="F48" i="13" s="1"/>
  <c r="D47" i="13"/>
  <c r="F47" i="13" s="1"/>
  <c r="D45" i="13"/>
  <c r="F45" i="13" s="1"/>
  <c r="F41" i="13"/>
  <c r="F50" i="13" s="1"/>
  <c r="D41" i="13"/>
  <c r="D35" i="13"/>
  <c r="F35" i="13" s="1"/>
  <c r="F34" i="13"/>
  <c r="D33" i="13"/>
  <c r="F33" i="13" s="1"/>
  <c r="D32" i="13"/>
  <c r="F32" i="13" s="1"/>
  <c r="D31" i="13"/>
  <c r="F31" i="13" s="1"/>
  <c r="F29" i="13"/>
  <c r="F144" i="13" s="1"/>
  <c r="D29" i="13"/>
  <c r="D28" i="13"/>
  <c r="F28" i="13" s="1"/>
  <c r="F26" i="13"/>
  <c r="D26" i="13"/>
  <c r="D24" i="13"/>
  <c r="F24" i="13" s="1"/>
  <c r="F14" i="13"/>
  <c r="F13" i="13"/>
  <c r="F12" i="13"/>
  <c r="F15" i="13" s="1"/>
  <c r="F11" i="13"/>
  <c r="F7" i="13"/>
  <c r="F8" i="13" s="1"/>
  <c r="B224" i="12"/>
  <c r="F214" i="12"/>
  <c r="F213" i="12"/>
  <c r="F212" i="12"/>
  <c r="F211" i="12"/>
  <c r="F210" i="12"/>
  <c r="F209" i="12"/>
  <c r="D208" i="12"/>
  <c r="F208" i="12" s="1"/>
  <c r="D207" i="12"/>
  <c r="F207" i="12" s="1"/>
  <c r="F206" i="12"/>
  <c r="D205" i="12"/>
  <c r="F205" i="12" s="1"/>
  <c r="D204" i="12"/>
  <c r="F204" i="12" s="1"/>
  <c r="D198" i="12"/>
  <c r="F198" i="12" s="1"/>
  <c r="F197" i="12"/>
  <c r="F192" i="12"/>
  <c r="F191" i="12"/>
  <c r="F190" i="12"/>
  <c r="F189" i="12"/>
  <c r="F188" i="12"/>
  <c r="F187" i="12"/>
  <c r="F185" i="12"/>
  <c r="F184" i="12"/>
  <c r="F182" i="12"/>
  <c r="F181" i="12"/>
  <c r="F180" i="12"/>
  <c r="F179" i="12"/>
  <c r="D175" i="12"/>
  <c r="F175" i="12" s="1"/>
  <c r="F174" i="12"/>
  <c r="D173" i="12"/>
  <c r="F173" i="12" s="1"/>
  <c r="D172" i="12"/>
  <c r="F172" i="12" s="1"/>
  <c r="F171" i="12"/>
  <c r="D170" i="12"/>
  <c r="F170" i="12" s="1"/>
  <c r="F166" i="12"/>
  <c r="F164" i="12"/>
  <c r="F163" i="12"/>
  <c r="F161" i="12"/>
  <c r="D155" i="12"/>
  <c r="F155" i="12" s="1"/>
  <c r="D154" i="12"/>
  <c r="F154" i="12" s="1"/>
  <c r="D153" i="12"/>
  <c r="F153" i="12" s="1"/>
  <c r="D152" i="12"/>
  <c r="F152" i="12" s="1"/>
  <c r="D147" i="12"/>
  <c r="F147" i="12" s="1"/>
  <c r="D146" i="12"/>
  <c r="F146" i="12" s="1"/>
  <c r="D144" i="12"/>
  <c r="F144" i="12" s="1"/>
  <c r="F141" i="12"/>
  <c r="D140" i="12"/>
  <c r="D138" i="12"/>
  <c r="F138" i="12" s="1"/>
  <c r="D133" i="12"/>
  <c r="F133" i="12" s="1"/>
  <c r="D130" i="12"/>
  <c r="F130" i="12" s="1"/>
  <c r="D128" i="12"/>
  <c r="F128" i="12" s="1"/>
  <c r="D127" i="12"/>
  <c r="F127" i="12" s="1"/>
  <c r="D125" i="12"/>
  <c r="F125" i="12" s="1"/>
  <c r="D124" i="12"/>
  <c r="F124" i="12" s="1"/>
  <c r="D123" i="12"/>
  <c r="F123" i="12" s="1"/>
  <c r="D121" i="12"/>
  <c r="F121" i="12" s="1"/>
  <c r="F120" i="12"/>
  <c r="D120" i="12"/>
  <c r="D118" i="12"/>
  <c r="F118" i="12" s="1"/>
  <c r="D116" i="12"/>
  <c r="F116" i="12" s="1"/>
  <c r="D114" i="12"/>
  <c r="F114" i="12" s="1"/>
  <c r="D104" i="12"/>
  <c r="F104" i="12" s="1"/>
  <c r="F103" i="12"/>
  <c r="F105" i="12" s="1"/>
  <c r="F98" i="12"/>
  <c r="F97" i="12"/>
  <c r="F96" i="12"/>
  <c r="F95" i="12"/>
  <c r="F94" i="12"/>
  <c r="F93" i="12"/>
  <c r="F92" i="12"/>
  <c r="F91" i="12"/>
  <c r="F90" i="12"/>
  <c r="F88" i="12"/>
  <c r="F87" i="12"/>
  <c r="F86" i="12"/>
  <c r="F85" i="12"/>
  <c r="D81" i="12"/>
  <c r="F81" i="12" s="1"/>
  <c r="F80" i="12"/>
  <c r="D79" i="12"/>
  <c r="F79" i="12" s="1"/>
  <c r="D78" i="12"/>
  <c r="F78" i="12" s="1"/>
  <c r="D77" i="12"/>
  <c r="F77" i="12" s="1"/>
  <c r="D76" i="12"/>
  <c r="F76" i="12" s="1"/>
  <c r="F72" i="12"/>
  <c r="F70" i="12"/>
  <c r="F69" i="12"/>
  <c r="F67" i="12"/>
  <c r="F73" i="12" s="1"/>
  <c r="D60" i="12"/>
  <c r="F60" i="12" s="1"/>
  <c r="D59" i="12"/>
  <c r="F59" i="12" s="1"/>
  <c r="D58" i="12"/>
  <c r="F58" i="12" s="1"/>
  <c r="D57" i="12"/>
  <c r="F57" i="12" s="1"/>
  <c r="D52" i="12"/>
  <c r="F52" i="12" s="1"/>
  <c r="D51" i="12"/>
  <c r="F51" i="12" s="1"/>
  <c r="D49" i="12"/>
  <c r="F49" i="12" s="1"/>
  <c r="F46" i="12"/>
  <c r="D45" i="12"/>
  <c r="F45" i="12" s="1"/>
  <c r="D43" i="12"/>
  <c r="F43" i="12" s="1"/>
  <c r="D38" i="12"/>
  <c r="F38" i="12" s="1"/>
  <c r="D37" i="12"/>
  <c r="F37" i="12" s="1"/>
  <c r="D36" i="12"/>
  <c r="F36" i="12" s="1"/>
  <c r="D35" i="12"/>
  <c r="F35" i="12" s="1"/>
  <c r="D33" i="12"/>
  <c r="F33" i="12" s="1"/>
  <c r="D32" i="12"/>
  <c r="F32" i="12" s="1"/>
  <c r="D30" i="12"/>
  <c r="F30" i="12" s="1"/>
  <c r="D29" i="12"/>
  <c r="F29" i="12" s="1"/>
  <c r="D28" i="12"/>
  <c r="F28" i="12" s="1"/>
  <c r="F26" i="12"/>
  <c r="D26" i="12"/>
  <c r="D25" i="12"/>
  <c r="F25" i="12" s="1"/>
  <c r="D23" i="12"/>
  <c r="F23" i="12" s="1"/>
  <c r="D21" i="12"/>
  <c r="F21" i="12" s="1"/>
  <c r="D19" i="12"/>
  <c r="F19" i="12" s="1"/>
  <c r="D10" i="12"/>
  <c r="F10" i="12" s="1"/>
  <c r="F11" i="12" s="1"/>
  <c r="F7" i="12"/>
  <c r="F8" i="12" s="1"/>
  <c r="F100" i="12" l="1"/>
  <c r="F194" i="12"/>
  <c r="F199" i="12"/>
  <c r="F167" i="12"/>
  <c r="F36" i="13"/>
  <c r="F136" i="13"/>
  <c r="F17" i="13"/>
  <c r="F60" i="13"/>
  <c r="F79" i="13"/>
  <c r="D117" i="13"/>
  <c r="D116" i="13"/>
  <c r="F116" i="13" s="1"/>
  <c r="F118" i="13" s="1"/>
  <c r="F134" i="12"/>
  <c r="F82" i="12"/>
  <c r="F215" i="12"/>
  <c r="F217" i="12" s="1"/>
  <c r="F224" i="12" s="1"/>
  <c r="F53" i="12"/>
  <c r="F148" i="12"/>
  <c r="F201" i="12" s="1"/>
  <c r="F223" i="12" s="1"/>
  <c r="F12" i="12"/>
  <c r="F221" i="12" s="1"/>
  <c r="F61" i="12"/>
  <c r="F176" i="12"/>
  <c r="F39" i="12"/>
  <c r="F156" i="12"/>
  <c r="F107" i="12" l="1"/>
  <c r="F222" i="12" s="1"/>
  <c r="F138" i="13"/>
  <c r="F145" i="13" s="1"/>
  <c r="F225" i="12"/>
  <c r="B229" i="11" l="1"/>
  <c r="F219" i="11"/>
  <c r="F218" i="11"/>
  <c r="F217" i="11"/>
  <c r="F216" i="11"/>
  <c r="F215" i="11"/>
  <c r="F214" i="11"/>
  <c r="D213" i="11"/>
  <c r="F213" i="11" s="1"/>
  <c r="D212" i="11"/>
  <c r="F212" i="11" s="1"/>
  <c r="F211" i="11"/>
  <c r="D210" i="11"/>
  <c r="F210" i="11" s="1"/>
  <c r="D209" i="11"/>
  <c r="F209" i="11" s="1"/>
  <c r="D203" i="11"/>
  <c r="F203" i="11" s="1"/>
  <c r="F202" i="11"/>
  <c r="F197" i="11"/>
  <c r="F196" i="11"/>
  <c r="F195" i="11"/>
  <c r="F194" i="11"/>
  <c r="F193" i="11"/>
  <c r="F192" i="11"/>
  <c r="F190" i="11"/>
  <c r="F189" i="11"/>
  <c r="F187" i="11"/>
  <c r="F186" i="11"/>
  <c r="F185" i="11"/>
  <c r="F184" i="11"/>
  <c r="D180" i="11"/>
  <c r="F180" i="11" s="1"/>
  <c r="F179" i="11"/>
  <c r="D178" i="11"/>
  <c r="F178" i="11" s="1"/>
  <c r="D177" i="11"/>
  <c r="F177" i="11" s="1"/>
  <c r="F176" i="11"/>
  <c r="D175" i="11"/>
  <c r="F175" i="11" s="1"/>
  <c r="F171" i="11"/>
  <c r="F169" i="11"/>
  <c r="F168" i="11"/>
  <c r="F166" i="11"/>
  <c r="D160" i="11"/>
  <c r="F160" i="11" s="1"/>
  <c r="D159" i="11"/>
  <c r="F159" i="11" s="1"/>
  <c r="D158" i="11"/>
  <c r="F158" i="11" s="1"/>
  <c r="D157" i="11"/>
  <c r="F157" i="11" s="1"/>
  <c r="D152" i="11"/>
  <c r="F152" i="11" s="1"/>
  <c r="D151" i="11"/>
  <c r="F151" i="11" s="1"/>
  <c r="D149" i="11"/>
  <c r="F149" i="11" s="1"/>
  <c r="F146" i="11"/>
  <c r="D145" i="11"/>
  <c r="D143" i="11"/>
  <c r="F143" i="11" s="1"/>
  <c r="D138" i="11"/>
  <c r="F138" i="11" s="1"/>
  <c r="D135" i="11"/>
  <c r="F135" i="11" s="1"/>
  <c r="D133" i="11"/>
  <c r="F133" i="11" s="1"/>
  <c r="D132" i="11"/>
  <c r="F132" i="11" s="1"/>
  <c r="D130" i="11"/>
  <c r="F130" i="11" s="1"/>
  <c r="D129" i="11"/>
  <c r="F129" i="11" s="1"/>
  <c r="D128" i="11"/>
  <c r="F128" i="11" s="1"/>
  <c r="D126" i="11"/>
  <c r="F126" i="11" s="1"/>
  <c r="D125" i="11"/>
  <c r="F125" i="11" s="1"/>
  <c r="D123" i="11"/>
  <c r="F123" i="11" s="1"/>
  <c r="D121" i="11"/>
  <c r="F121" i="11" s="1"/>
  <c r="D119" i="11"/>
  <c r="F119" i="11" s="1"/>
  <c r="D109" i="11"/>
  <c r="F109" i="11" s="1"/>
  <c r="F108" i="11"/>
  <c r="F110" i="11" s="1"/>
  <c r="F103" i="11"/>
  <c r="F102" i="11"/>
  <c r="F101" i="11"/>
  <c r="F100" i="11"/>
  <c r="F99" i="11"/>
  <c r="F98" i="11"/>
  <c r="F97" i="11"/>
  <c r="F96" i="11"/>
  <c r="F95" i="11"/>
  <c r="F93" i="11"/>
  <c r="F92" i="11"/>
  <c r="F91" i="11"/>
  <c r="F90" i="11"/>
  <c r="D86" i="11"/>
  <c r="F86" i="11" s="1"/>
  <c r="F85" i="11"/>
  <c r="D84" i="11"/>
  <c r="F84" i="11" s="1"/>
  <c r="D83" i="11"/>
  <c r="F83" i="11" s="1"/>
  <c r="D82" i="11"/>
  <c r="F82" i="11" s="1"/>
  <c r="D81" i="11"/>
  <c r="F81" i="11" s="1"/>
  <c r="F77" i="11"/>
  <c r="F75" i="11"/>
  <c r="F74" i="11"/>
  <c r="F72" i="11"/>
  <c r="D65" i="11"/>
  <c r="F65" i="11" s="1"/>
  <c r="D64" i="11"/>
  <c r="F64" i="11" s="1"/>
  <c r="D63" i="11"/>
  <c r="F63" i="11" s="1"/>
  <c r="D62" i="11"/>
  <c r="F62" i="11" s="1"/>
  <c r="D57" i="11"/>
  <c r="F57" i="11" s="1"/>
  <c r="D56" i="11"/>
  <c r="F56" i="11" s="1"/>
  <c r="D54" i="11"/>
  <c r="F54" i="11" s="1"/>
  <c r="F51" i="11"/>
  <c r="D50" i="11"/>
  <c r="F50" i="11" s="1"/>
  <c r="D48" i="11"/>
  <c r="F48" i="11" s="1"/>
  <c r="D43" i="11"/>
  <c r="F43" i="11" s="1"/>
  <c r="D42" i="11"/>
  <c r="F42" i="11" s="1"/>
  <c r="D41" i="11"/>
  <c r="F41" i="11" s="1"/>
  <c r="D40" i="11"/>
  <c r="F40" i="11" s="1"/>
  <c r="D38" i="11"/>
  <c r="F38" i="11" s="1"/>
  <c r="D37" i="11"/>
  <c r="F37" i="11" s="1"/>
  <c r="D35" i="11"/>
  <c r="F35" i="11" s="1"/>
  <c r="D34" i="11"/>
  <c r="F34" i="11" s="1"/>
  <c r="D33" i="11"/>
  <c r="F33" i="11" s="1"/>
  <c r="D31" i="11"/>
  <c r="F31" i="11" s="1"/>
  <c r="D30" i="11"/>
  <c r="F30" i="11" s="1"/>
  <c r="D28" i="11"/>
  <c r="F28" i="11" s="1"/>
  <c r="D26" i="11"/>
  <c r="F26" i="11" s="1"/>
  <c r="D24" i="11"/>
  <c r="F24" i="11" s="1"/>
  <c r="D15" i="11"/>
  <c r="F15" i="11" s="1"/>
  <c r="F16" i="11" s="1"/>
  <c r="F12" i="11"/>
  <c r="F13" i="11" s="1"/>
  <c r="F87" i="11" l="1"/>
  <c r="F153" i="11"/>
  <c r="F204" i="11"/>
  <c r="F17" i="11"/>
  <c r="F78" i="11"/>
  <c r="F58" i="11"/>
  <c r="F181" i="11"/>
  <c r="F44" i="11"/>
  <c r="F220" i="11"/>
  <c r="F222" i="11" s="1"/>
  <c r="F229" i="11" s="1"/>
  <c r="F139" i="11"/>
  <c r="F105" i="11"/>
  <c r="F199" i="11"/>
  <c r="F66" i="11"/>
  <c r="F161" i="11"/>
  <c r="F172" i="11"/>
  <c r="F226" i="11"/>
  <c r="F206" i="11" l="1"/>
  <c r="F228" i="11" s="1"/>
  <c r="F112" i="11"/>
  <c r="F227" i="11" s="1"/>
  <c r="F230" i="11" l="1"/>
</calcChain>
</file>

<file path=xl/sharedStrings.xml><?xml version="1.0" encoding="utf-8"?>
<sst xmlns="http://schemas.openxmlformats.org/spreadsheetml/2006/main" count="1277" uniqueCount="359">
  <si>
    <t xml:space="preserve">N° </t>
  </si>
  <si>
    <t>Désignation des ouvrages</t>
  </si>
  <si>
    <t>Unité</t>
  </si>
  <si>
    <t>Qté</t>
  </si>
  <si>
    <t>P.U. (€)</t>
  </si>
  <si>
    <t>P.T. (€)</t>
  </si>
  <si>
    <t>INSTALLATION ET REPLI DE CHANTIER</t>
  </si>
  <si>
    <t>0.1</t>
  </si>
  <si>
    <t>Installation et repli de chantier</t>
  </si>
  <si>
    <t>FF</t>
  </si>
  <si>
    <t>Sous total 0 - Installation et repli de chantier</t>
  </si>
  <si>
    <t>TRAVAUX PREPARATOIRES</t>
  </si>
  <si>
    <t>1.1</t>
  </si>
  <si>
    <t>Débroussaillage et nivellement terrain</t>
  </si>
  <si>
    <t>m²</t>
  </si>
  <si>
    <t>Sous Total 1 Travaux préparatoires</t>
  </si>
  <si>
    <t>Sous total 0+1: INSTALLATION DE CHANTIER (0)                                + TRAVAUX PREPARATOIRES (1)</t>
  </si>
  <si>
    <t>OUVRAGE 1 : CONSTRUCTION LATRINE GARCONS</t>
  </si>
  <si>
    <t>GROS ŒUVRES</t>
  </si>
  <si>
    <t>2.1</t>
  </si>
  <si>
    <t xml:space="preserve">Fondation </t>
  </si>
  <si>
    <t>2.1.1</t>
  </si>
  <si>
    <t xml:space="preserve">Fouilles </t>
  </si>
  <si>
    <t>2.1.1.1</t>
  </si>
  <si>
    <t>Fouilles filantes</t>
  </si>
  <si>
    <t>2.1.1.1.1</t>
  </si>
  <si>
    <t>Fouilles Largeur: 35 cm;( Profondeur: 100cm)</t>
  </si>
  <si>
    <t>m3</t>
  </si>
  <si>
    <t>2.1.1.2</t>
  </si>
  <si>
    <t>Fouille de la fosse</t>
  </si>
  <si>
    <t>2.1.1.2.1</t>
  </si>
  <si>
    <t>Fouille de la fosse (955x335 x300 cm)</t>
  </si>
  <si>
    <t>m³</t>
  </si>
  <si>
    <t>2.1.2</t>
  </si>
  <si>
    <t>Béton de propreté</t>
  </si>
  <si>
    <t>2.1.2.1</t>
  </si>
  <si>
    <t xml:space="preserve">Béton de propreté (ép.: 5  cm) dosé à 150 kg/m³ </t>
  </si>
  <si>
    <t>2.1.3</t>
  </si>
  <si>
    <t>Maconnerie de Fondation</t>
  </si>
  <si>
    <t>2.1.3.1</t>
  </si>
  <si>
    <t>Fondation en béton cyclopéen (35 x 95 cm) dosé à 300Kg/m3</t>
  </si>
  <si>
    <t>2.1.3.2</t>
  </si>
  <si>
    <t>Maçonnerie en moellon ép.35 cm dosé à 250Kg/m3 pour la protection des parois de la fosse</t>
  </si>
  <si>
    <t xml:space="preserve">2.1.4   </t>
  </si>
  <si>
    <t>Béton armé</t>
  </si>
  <si>
    <t>2.1.4.1</t>
  </si>
  <si>
    <t xml:space="preserve">Socles des fondations en béton armé 35x35x95 cm dosé à 350kg/m³  </t>
  </si>
  <si>
    <t>2.1.4.2</t>
  </si>
  <si>
    <t>Chape d’égalisation en béton dosé à 350 kg/m3 (h= 8cm) légèrement armé</t>
  </si>
  <si>
    <t>2.1.4.3</t>
  </si>
  <si>
    <t xml:space="preserve">Colonnes de fosse  en béton armé dosé à 350kg/m³ de section 35x35cm </t>
  </si>
  <si>
    <t>2.1.4.4</t>
  </si>
  <si>
    <t>Poutre  en béton armé dosé à 350 kg/m3</t>
  </si>
  <si>
    <t>2.1.4.4.1</t>
  </si>
  <si>
    <t xml:space="preserve">Poutre  en béton armé dosé à 350 kg/m3 (35x30cm) inférieure à 1,0m </t>
  </si>
  <si>
    <t>2.1.4.4.2</t>
  </si>
  <si>
    <t>Poutre  en béton armé dosé à 350 kg/m3 (35x30cm) superieure à 3,0m</t>
  </si>
  <si>
    <t xml:space="preserve">2.1.4.5 </t>
  </si>
  <si>
    <t>Dalle en béton armé dosé à 350 Kg/m3</t>
  </si>
  <si>
    <t xml:space="preserve">2.1.4.5.1 </t>
  </si>
  <si>
    <r>
      <t xml:space="preserve">Dalle en béton armé dosé à 350 Kg/m3 </t>
    </r>
    <r>
      <rPr>
        <sz val="10"/>
        <rFont val="Calibri"/>
        <family val="2"/>
      </rPr>
      <t>ep.12</t>
    </r>
  </si>
  <si>
    <t>2.1.5</t>
  </si>
  <si>
    <t>Fourniture et mise en œuvre d'un Remblais en matériaux d'apport (terre de type latérite) y compris compactage</t>
  </si>
  <si>
    <t>2.1.6</t>
  </si>
  <si>
    <t>Fourniture et pose d'un Film polyane d'étanchéité sous béton de sous pavement</t>
  </si>
  <si>
    <t>2.1.7</t>
  </si>
  <si>
    <t xml:space="preserve">Béton de sous pavement et rampes d'accès en béton dosé à 250 Kg/m3 ép.= 8 cm </t>
  </si>
  <si>
    <t>Sous-total 2.1 Fondation</t>
  </si>
  <si>
    <t>2.2</t>
  </si>
  <si>
    <t>Elévation</t>
  </si>
  <si>
    <t>2.2.1</t>
  </si>
  <si>
    <t>Maçonnerie d'élévation</t>
  </si>
  <si>
    <t>2.2.1.1</t>
  </si>
  <si>
    <t>Maçonneries en briques stabilisées ép. 15 cm dosé à 300kg/m3</t>
  </si>
  <si>
    <t>2.2.1.2</t>
  </si>
  <si>
    <t>Maçonnerie en blocs ciment plein</t>
  </si>
  <si>
    <t xml:space="preserve">2.2.1.2.1 </t>
  </si>
  <si>
    <t xml:space="preserve">Maçonnerie en blocs de ciment plein de 15x20x40 pour perron d’accès </t>
  </si>
  <si>
    <t>2.2.1.3</t>
  </si>
  <si>
    <t xml:space="preserve">Maçonneries de claustras </t>
  </si>
  <si>
    <t>2.2.2</t>
  </si>
  <si>
    <t>2.2.2.1</t>
  </si>
  <si>
    <t>Colonnes</t>
  </si>
  <si>
    <t>2.2.2.1.1</t>
  </si>
  <si>
    <t xml:space="preserve">Colonnes en béton armé dosé à 350kg/m³ de section 15x20cm avec battée extérieur </t>
  </si>
  <si>
    <t>2.2.2.2</t>
  </si>
  <si>
    <t xml:space="preserve">Ceintures </t>
  </si>
  <si>
    <t>2.2.2.2.1</t>
  </si>
  <si>
    <t xml:space="preserve">Ceinture inférieur en béton armé dosé à 350kg/m³ de section 15x20  cm </t>
  </si>
  <si>
    <t>2.2.2.2.2</t>
  </si>
  <si>
    <t xml:space="preserve">Ceinture supérieur en béton armé dosé à 350kg/m³ de section 15x20  cm  </t>
  </si>
  <si>
    <t>Sous total 2.2 Elévation</t>
  </si>
  <si>
    <t>2.3</t>
  </si>
  <si>
    <t xml:space="preserve">Toiture  </t>
  </si>
  <si>
    <t>2.3.1</t>
  </si>
  <si>
    <t>Charpente rampantes</t>
  </si>
  <si>
    <t>2.3.1.1</t>
  </si>
  <si>
    <t xml:space="preserve">Rampats et contreventement en madrier 7/15 cm </t>
  </si>
  <si>
    <t>2.3.1.2</t>
  </si>
  <si>
    <t xml:space="preserve">Fo et Po de pannes en chevrons 7/7 </t>
  </si>
  <si>
    <t>2.3.2</t>
  </si>
  <si>
    <t>Fo et Po de Couverture en tôle BG 28 Prépeint ondulé avec un pesant de 7Kg</t>
  </si>
  <si>
    <t>2.3.3</t>
  </si>
  <si>
    <t>Fo et Po planches de rive de 30 cm ep.3 cm</t>
  </si>
  <si>
    <t>ml</t>
  </si>
  <si>
    <t xml:space="preserve">Sous-total 2.3 Toiture </t>
  </si>
  <si>
    <t>TRAVAUX DE FINITION</t>
  </si>
  <si>
    <t>3.1</t>
  </si>
  <si>
    <t xml:space="preserve">Menuiseries </t>
  </si>
  <si>
    <t>3.1.1</t>
  </si>
  <si>
    <t xml:space="preserve">Portes </t>
  </si>
  <si>
    <t>3.1.1.1</t>
  </si>
  <si>
    <t>Portes métalliques</t>
  </si>
  <si>
    <t>3.1.1.1.1</t>
  </si>
  <si>
    <t>Fo et Po porte extérieure métallique grillagé de 100 cmx220cm</t>
  </si>
  <si>
    <t>Pce</t>
  </si>
  <si>
    <t>3.1.1.2</t>
  </si>
  <si>
    <t>Portes en bois</t>
  </si>
  <si>
    <t>3.1.1.2.1</t>
  </si>
  <si>
    <t xml:space="preserve">Fo et Po porte intérieure  en bois massif  de 100 cmx220cm </t>
  </si>
  <si>
    <t>3.1.1.2.2</t>
  </si>
  <si>
    <t xml:space="preserve">Fo et Po porte intérieure  en bois massif  de 80 cmx220cm </t>
  </si>
  <si>
    <t>3.1.2</t>
  </si>
  <si>
    <t xml:space="preserve">Fenetres </t>
  </si>
  <si>
    <t>3.1.21</t>
  </si>
  <si>
    <t xml:space="preserve">Fo et Po grillage métallique de  de 3,45 cmx90cm </t>
  </si>
  <si>
    <t>Sous-total 3.1 Menuiseries</t>
  </si>
  <si>
    <t>3.2</t>
  </si>
  <si>
    <t>Revêtement sol et mur</t>
  </si>
  <si>
    <t>3.2.1</t>
  </si>
  <si>
    <t>Enduit lisse en mortier de ciment dosé à 250 kg/m3 sur murs intérieurs de WC et dans la fosse ép. = 2,5 cm</t>
  </si>
  <si>
    <t>3.2.2</t>
  </si>
  <si>
    <t>Enduit glacé en mortier de ciment dosé à 400 kg/m3 sur parois intérieurs de la fosse ép. = 2,5 cm</t>
  </si>
  <si>
    <t>3.2.3</t>
  </si>
  <si>
    <t>Enduit lisse en mortier de ciment dosé à 250 kg/m3  ép. = 2,5 cm sur colonnes, ceintures à l'extérieur</t>
  </si>
  <si>
    <t>3.2.4</t>
  </si>
  <si>
    <t>Enduit extérieur finition tyrolien écrase h. moyenne =100 cm</t>
  </si>
  <si>
    <t>3.2.5</t>
  </si>
  <si>
    <t>Fo et Po  faience sur murs intérieurs des la salle avec 220 cm de hauteur dans les sanitaires</t>
  </si>
  <si>
    <t>3.2.6</t>
  </si>
  <si>
    <t xml:space="preserve">Fo et Po  Carreaux  de sol anti-dérampant en ceramique de premier choix  intérieurs de la salle </t>
  </si>
  <si>
    <t>Sous-total 3.2 Revêtement sol et mur</t>
  </si>
  <si>
    <t xml:space="preserve"> </t>
  </si>
  <si>
    <t>3.3</t>
  </si>
  <si>
    <t xml:space="preserve">Plomberie  </t>
  </si>
  <si>
    <t>3.3.1</t>
  </si>
  <si>
    <t xml:space="preserve">Fo et Po gouttière en PVC 140 y compris accessoire de fixation </t>
  </si>
  <si>
    <t>3.3.2</t>
  </si>
  <si>
    <t xml:space="preserve">Descente en PVC 110 </t>
  </si>
  <si>
    <t>3.3.3</t>
  </si>
  <si>
    <t xml:space="preserve">Reseau d'adduction d'eau propre à l'intérieur du bâtiment </t>
  </si>
  <si>
    <t>Fft</t>
  </si>
  <si>
    <t>3.3.4</t>
  </si>
  <si>
    <t xml:space="preserve">Fo et Po de syphon sol avec crepines </t>
  </si>
  <si>
    <t>3.3.5</t>
  </si>
  <si>
    <t>Construction d'un support</t>
  </si>
  <si>
    <t>3.3.5.1</t>
  </si>
  <si>
    <t>Construction d'un support pour deux citernes de 2000 litres en BA</t>
  </si>
  <si>
    <t>3.3.5.2</t>
  </si>
  <si>
    <t>Fo et Po en de citerne en plastique de 2000 litres avec tous les accessoires</t>
  </si>
  <si>
    <t>3.3.6</t>
  </si>
  <si>
    <t xml:space="preserve">Construction d'un puit perdu de 150x300 cm </t>
  </si>
  <si>
    <t>3.3.7</t>
  </si>
  <si>
    <t xml:space="preserve">Fo et Po de WC Turc complet </t>
  </si>
  <si>
    <t>3.3.8</t>
  </si>
  <si>
    <t>Fo et Po  de WC en maçonnerie pour PMR</t>
  </si>
  <si>
    <t>3.3.9</t>
  </si>
  <si>
    <t xml:space="preserve">Fo et Po  de urinoires </t>
  </si>
  <si>
    <t>3.3.10</t>
  </si>
  <si>
    <t>Construction d'un bac à laver en beton a1 robinet PMR y compris les faillence de revetement</t>
  </si>
  <si>
    <t>3.3.11</t>
  </si>
  <si>
    <t>Construction d'un bac à laver en beton a 5 robinet  y compris les faillence de revetement</t>
  </si>
  <si>
    <t>3.3.12</t>
  </si>
  <si>
    <t>Fo et Po de tuyau PVC 110 y compris Té et treillis moustiquaire pour l'aeration de la fosse</t>
  </si>
  <si>
    <t xml:space="preserve">Sous -total 3.4 Plomberie  </t>
  </si>
  <si>
    <t>3.4</t>
  </si>
  <si>
    <t>Peinture</t>
  </si>
  <si>
    <t>3.4.1</t>
  </si>
  <si>
    <t>Fo et application Peinture latex sur murs intérieurs (couleur peirre de France )</t>
  </si>
  <si>
    <t>3.4.2</t>
  </si>
  <si>
    <t xml:space="preserve">Fo et application vernis claire sur face extérieure des briques stabilisées </t>
  </si>
  <si>
    <t>Sous-total 3.5 Peinture</t>
  </si>
  <si>
    <t>Total 1 :CONSTRUCTION LATRINE GARCONS</t>
  </si>
  <si>
    <t>OUVRAGE 2 : CONSTRUCTION LATRINE FILLES</t>
  </si>
  <si>
    <t>Remblais en matériaux d'apport (terre de type latérite) y compris compactage</t>
  </si>
  <si>
    <t>Film polyane d’étanchéité sous béton de sous‑pavement</t>
  </si>
  <si>
    <t xml:space="preserve">Maçonnerie en blocs ciment plein de 15x20x40 pour perron d’accès </t>
  </si>
  <si>
    <t>Charpente rampante</t>
  </si>
  <si>
    <t>Rampants et contreventement en madrier 7/15 cm</t>
  </si>
  <si>
    <t>3.1.1.3</t>
  </si>
  <si>
    <t>Fenêtres</t>
  </si>
  <si>
    <t>3.1.1.3.1</t>
  </si>
  <si>
    <t xml:space="preserve">Fo et Po grillage métallique de 345 cmx90cm </t>
  </si>
  <si>
    <t>Revêtement mur et sol</t>
  </si>
  <si>
    <t>Total 2 :CONSTRUCTION LATRINE FILLES</t>
  </si>
  <si>
    <t xml:space="preserve">AMENAGEMENT EXTERIEUR </t>
  </si>
  <si>
    <t>4.1</t>
  </si>
  <si>
    <t xml:space="preserve">Trottoir perron   et protection de la fondation et Aspects Environnementaux </t>
  </si>
  <si>
    <t>4.1.1</t>
  </si>
  <si>
    <t>Fouille bordure</t>
  </si>
  <si>
    <t>4.1.2</t>
  </si>
  <si>
    <t>Béton de propriété dosé à 150 Kg/m3</t>
  </si>
  <si>
    <t>4.1.3</t>
  </si>
  <si>
    <t>Maçonnerie en blocs de 15cm    profondeur = 30 cm</t>
  </si>
  <si>
    <t>4.1.4</t>
  </si>
  <si>
    <t>Béton brut trottoir à 300kg/m3 ép. 7 cm  l=80cm</t>
  </si>
  <si>
    <t>4.1.5</t>
  </si>
  <si>
    <t>Pose dallete en béton armé ép. 10 cm sur filet d'eau devant chaque entrée</t>
  </si>
  <si>
    <t>4.1.6</t>
  </si>
  <si>
    <t xml:space="preserve">Filet d'eau de 40 cm  largeur intérieure avec chape d'égalisation sur les maçonneries Blocs ciment plein  ép. =15 cm   avec radier en Béton dosé à 300Kg/m3   </t>
  </si>
  <si>
    <t>4.1.7</t>
  </si>
  <si>
    <t xml:space="preserve"> Puisard de 1 m de diamètre intérieur et 2,10 m de profondeur</t>
  </si>
  <si>
    <t>pce</t>
  </si>
  <si>
    <t>4.1.8</t>
  </si>
  <si>
    <t>Mise en place de béton des voies d'accés (dosé à 250Kg/m3) ép. 10 cm</t>
  </si>
  <si>
    <t>4.1.9</t>
  </si>
  <si>
    <t xml:space="preserve">Mise en place de béton des bordures de 10x20 cm (dosé à 300Kg/m3) </t>
  </si>
  <si>
    <t>4.1.10</t>
  </si>
  <si>
    <t>Plantation des pelouses et fleures hornorifique</t>
  </si>
  <si>
    <t>4.1.11</t>
  </si>
  <si>
    <t>Plantation des arbres fruitiers</t>
  </si>
  <si>
    <t xml:space="preserve">Sous-total 4.1 Trottoir perron, protection de la fondation et Aspects Environnementaux </t>
  </si>
  <si>
    <t>n°</t>
  </si>
  <si>
    <t xml:space="preserve"> Destignation des travaux</t>
  </si>
  <si>
    <t>INSTALLATION DE CHANTIER (0) + TRAVAUX PREPARATOIRES (1)</t>
  </si>
  <si>
    <t>TRAVAUX DE CONSTRUCTION DES OUVRAGES SCOLAIRS DANS 2 ECOLES A GEMENA DANS LA PROVINCE SUD-UBANGI</t>
  </si>
  <si>
    <t>LOT1, LOT2,LOT3</t>
  </si>
  <si>
    <t xml:space="preserve">TRAVAUX DE CONSTRUCTION LATRINE GARCONS </t>
  </si>
  <si>
    <t>TRAVAUX DE CONSTRUCTION LATRINE  FILLES</t>
  </si>
  <si>
    <t>TRAVAUX DE CONSTRUCTION LATRINE GARCONS</t>
  </si>
  <si>
    <t>TOTAL GENERAL LOT 2 EP EDAP</t>
  </si>
  <si>
    <t>TOTAL GENERAL LOT 1 EP BOBOTO</t>
  </si>
  <si>
    <t>fft</t>
  </si>
  <si>
    <t>1.2</t>
  </si>
  <si>
    <t>1.3</t>
  </si>
  <si>
    <t>1.4</t>
  </si>
  <si>
    <t>Fouilles Largeur: 40 cm;( Profondeur: 80cm)</t>
  </si>
  <si>
    <t>Chape  d’égalisation en béton ermé dosé à 350 kg/m3 (h=  8cm) légèrement armé</t>
  </si>
  <si>
    <t xml:space="preserve">Remblais en matériaux d'apport (terre de type latérite)  y compris compactage </t>
  </si>
  <si>
    <t>Film polyane d'étanchéité sous dalle de sous pavement</t>
  </si>
  <si>
    <t>Maçonnerie en blocs ciment creux</t>
  </si>
  <si>
    <t xml:space="preserve">2.2.1.1.1 </t>
  </si>
  <si>
    <t>Maçonneries de claustras</t>
  </si>
  <si>
    <t xml:space="preserve">Colonnes en béton armé dosé à 350kg/m³ de section 20x15cm avec battée extérieur </t>
  </si>
  <si>
    <t xml:space="preserve">Ceinture inférieur en béton armé dosé à 350kg/m³ de section 15x20  cm  à 220 cm </t>
  </si>
  <si>
    <t>Ceinture supérieur en béton armé dosé à 350kg/m³ de section 15x20  cm  à 320 cm de la chappe</t>
  </si>
  <si>
    <t>2.2.2.3</t>
  </si>
  <si>
    <t>Béton en armé pour seuil de fenêtre dosé à 350Kg/m3</t>
  </si>
  <si>
    <t>Sous-total 2.2 Elévation</t>
  </si>
  <si>
    <t>Charpente en ferme/demi ferme/rampantes</t>
  </si>
  <si>
    <t xml:space="preserve">Ferme/demi-fermes en bois (arbalétrier, poinçon, fiche et contre- fiche, entrait) et contreventement en madrier 7/15 cm </t>
  </si>
  <si>
    <t>Fo et Po de Couverture en tôle BG 28 Pret peint ondulé avec un pesant de 7Kg</t>
  </si>
  <si>
    <t xml:space="preserve">Fo et Po de tôles faitières </t>
  </si>
  <si>
    <t>2.3.4</t>
  </si>
  <si>
    <t>2.3.5</t>
  </si>
  <si>
    <t>Menuiseries</t>
  </si>
  <si>
    <t>Portes</t>
  </si>
  <si>
    <t>Fo et Po porte double métallique pleine de 180x220 cm</t>
  </si>
  <si>
    <t>Fo et Po porte  métallique ouvrant semi-vitrée de 100 cm x220cm</t>
  </si>
  <si>
    <t>Fo et Po porte  en bois pleine de 100 cm x220cm</t>
  </si>
  <si>
    <t>Fenêtres et impostes</t>
  </si>
  <si>
    <t>3.1.2.1</t>
  </si>
  <si>
    <t xml:space="preserve">Fo et Po fenêtre métallique vitrée avec anti - vol de 150 cm x120cm  </t>
  </si>
  <si>
    <t>3.1.2.2</t>
  </si>
  <si>
    <t>Enduit lisse en mortier de ciment dosé à 250 kg/m3 sur murs intérieurs  ép. = 2,5 cm</t>
  </si>
  <si>
    <t>Enduit lisse en mortier de ciment dosé à 250 kg/m3 sur murs extérieurs ép. = 2,5 cm</t>
  </si>
  <si>
    <t>Enduit lisse en mortier de ciment dosé à 400 kg/m3 sur tableau ép. = 2,5 cm</t>
  </si>
  <si>
    <t xml:space="preserve">Electricité </t>
  </si>
  <si>
    <t>Installation electrique du bâtiment</t>
  </si>
  <si>
    <t>3.3.1.1</t>
  </si>
  <si>
    <t>Tableau divisionnaire complet de 24 circuits</t>
  </si>
  <si>
    <t>3.3.1.2</t>
  </si>
  <si>
    <t>Plafonnier lumineux économique de 18 W</t>
  </si>
  <si>
    <t>3.3.1.3</t>
  </si>
  <si>
    <t xml:space="preserve">Fils de 1,5 mm2 </t>
  </si>
  <si>
    <t>3.3.1.4</t>
  </si>
  <si>
    <t xml:space="preserve">Fils de 2,5 mm2 </t>
  </si>
  <si>
    <t>3.3.1.5</t>
  </si>
  <si>
    <t>Prise encastrées hermetique avec terre</t>
  </si>
  <si>
    <t>3.3.1.6</t>
  </si>
  <si>
    <t>Interrupteur simple</t>
  </si>
  <si>
    <t>3.3.1.7</t>
  </si>
  <si>
    <t>Interrupteur double</t>
  </si>
  <si>
    <t>3.3.1.8</t>
  </si>
  <si>
    <t>Piquet de terre complet</t>
  </si>
  <si>
    <t>3.3.1.9</t>
  </si>
  <si>
    <t xml:space="preserve">Disjoncteur </t>
  </si>
  <si>
    <t>Fourniture et installation d'un Kit solaire</t>
  </si>
  <si>
    <t>Panneaux solaires photovoltaïques 450 Wc, monocristallins, rendement ≥ 20%</t>
  </si>
  <si>
    <t>Pièce</t>
  </si>
  <si>
    <t>3.3.2.1</t>
  </si>
  <si>
    <t>Batterie lithium 24V / 270Ah (6,5 kWh brut / 5,8 kWh utile) Batterie LiFePO4 recommandée</t>
  </si>
  <si>
    <t>3.3.2.2</t>
  </si>
  <si>
    <t>Onduleur hybride 3000 W, 24V/48v, pur sinus, MPPT intégré</t>
  </si>
  <si>
    <t>3.3.2.3</t>
  </si>
  <si>
    <t>Régulateur de charge MPPT 60 A, compatible 24V/48V</t>
  </si>
  <si>
    <t>3.3.2.4</t>
  </si>
  <si>
    <t>Structure de montage pour panneaux Aluminium ou acier galvanisé, inclinaison 15–30°</t>
  </si>
  <si>
    <t>Lot</t>
  </si>
  <si>
    <t>3.3.2.5</t>
  </si>
  <si>
    <t>Câbles solaires DC 4 à 6 mm², résistant UV et intempéries</t>
  </si>
  <si>
    <t>Mètre</t>
  </si>
  <si>
    <t>3.3.2.6</t>
  </si>
  <si>
    <t>Câbles AC 6 mm²</t>
  </si>
  <si>
    <t>3.3.2.7</t>
  </si>
  <si>
    <t>Disjoncteurs DC 63 A minimum, courbe C, bipolaire</t>
  </si>
  <si>
    <t>3.3.2.8</t>
  </si>
  <si>
    <t>Disjoncteur AC 16–32 A, courbe C</t>
  </si>
  <si>
    <t>3.3.2.9</t>
  </si>
  <si>
    <t>Parafoudre DC/AC Conforme aux normes (Type II)</t>
  </si>
  <si>
    <t>3.3.2.10</t>
  </si>
  <si>
    <t>Boîte de jonction DC IP65, avec borniers, pour câblage propre</t>
  </si>
  <si>
    <t>3.3.2.11</t>
  </si>
  <si>
    <t>Mise à la terre complète Tresse cuivre + piquet de terre + connecteurs</t>
  </si>
  <si>
    <t>3.3.2.12</t>
  </si>
  <si>
    <t>Main d’œuvre installation complète Pose, câblage, mise en service</t>
  </si>
  <si>
    <t>Forfait</t>
  </si>
  <si>
    <t xml:space="preserve">Sous-total 3.3 Electricité </t>
  </si>
  <si>
    <t>3.5</t>
  </si>
  <si>
    <t>3.5.1</t>
  </si>
  <si>
    <t>3.5.2</t>
  </si>
  <si>
    <t>Fo et application Peinture latex sur murs extérieure (couleur peirre de France )</t>
  </si>
  <si>
    <t>3.5.3</t>
  </si>
  <si>
    <t xml:space="preserve">Fo et application Peinture latex sur faux plafonds </t>
  </si>
  <si>
    <t>3.5.4</t>
  </si>
  <si>
    <t>Fo et application peinture glycérophtalique sur murs intérieurs h : 180cm</t>
  </si>
  <si>
    <t>3.6</t>
  </si>
  <si>
    <t>Securités Incendies</t>
  </si>
  <si>
    <t>3.6.1</t>
  </si>
  <si>
    <t>Fo et Po extincteur à CO2 de 7KG</t>
  </si>
  <si>
    <t>3.6.2</t>
  </si>
  <si>
    <t>Fo et Po de Detecteur des fumés autonome</t>
  </si>
  <si>
    <t>Sous-total 3.6 Sécurités Incendies</t>
  </si>
  <si>
    <t>Démolition des murs en pisées et évacuation des débris</t>
  </si>
  <si>
    <t>Dépose porte en bois de 90x220 cm</t>
  </si>
  <si>
    <t xml:space="preserve">RECAPITULATIF LOT2
TRAVAUX DE CONSTRUCTION DES LATRINES (GARCONS ET FILLES) (POUR EP EDAP) </t>
  </si>
  <si>
    <t xml:space="preserve">RECAPITULATIF LOT1
TRAVAUX DE CONSTRUCTION DES LATRINE (GARCONS ET FILLES) </t>
  </si>
  <si>
    <t xml:space="preserve">TOTAL :AMENAGEMENT EXTERIEUR </t>
  </si>
  <si>
    <t>TOTAL GENERAL LOT 3 EP EDAP</t>
  </si>
  <si>
    <r>
      <t>PT (en</t>
    </r>
    <r>
      <rPr>
        <b/>
        <sz val="10"/>
        <color theme="1"/>
        <rFont val="Calibri"/>
        <family val="2"/>
      </rPr>
      <t>€</t>
    </r>
    <r>
      <rPr>
        <b/>
        <sz val="10"/>
        <color theme="1"/>
        <rFont val="Calibri"/>
        <family val="2"/>
        <scheme val="minor"/>
      </rPr>
      <t>)</t>
    </r>
  </si>
  <si>
    <t xml:space="preserve">Dépose fenetres en bois </t>
  </si>
  <si>
    <t>m2</t>
  </si>
  <si>
    <t xml:space="preserve">Maçonnerie en blocs ciment creux de 15x20x40  pour murs extérieurs et interieurs </t>
  </si>
  <si>
    <t xml:space="preserve">LOT 1_BORDEREAU ESTIMATIF ET QUANTITATIF DE TRAVAUX DE CONSTRUCTION DE DEUX BLOCS LATRINE INCLUSIVE AVEC ESPACE DE DIGNITE DANS EP Boboto 3  A GEMENA DANS LA PROVINCE SUD-UBANGI  </t>
  </si>
  <si>
    <t xml:space="preserve">LOT 2_BORDEREAU ESTIMATIF ET QUANTITATIF DE TRAVAUX DE CONSTRUCTION DE DEUX BLOCS LATRINE INCLUSIVE AVEC ESPACE DE DIGNITE DANS EP  EDAP-ISP A GEMENA DANS LA PROVINCE SUD-UBANGI </t>
  </si>
  <si>
    <t>LOT 3_BORDEREAU ESTIMATIF ET QUANTITATIF  DE TRAVAUX DE REHABILITATION DE LA SALLE DE BIBLIOTHEQUE NUMERIQUE   EP EDAP au Sud-Ubangi à Gemena</t>
  </si>
  <si>
    <t>OUVRAGE I : REHABILITATION/CONSTRUCTION BATIMENT  PRINCIPAL</t>
  </si>
  <si>
    <t>RECAPITULATIF LOT3
 TRAVAUX DE REHABILITATION DE LA SALLE DE BIBLIOTHEQUE NUMERIQUE   EP EDAP au Sud-Ubangi à Gemena</t>
  </si>
  <si>
    <t>Pavement lise teinté dosé à 500Kg/m3 (en rouge bordeau ) y compris plinthes</t>
  </si>
  <si>
    <t>TRAVAUX DE REHABILITATION BATIMENT PRINCIPAL</t>
  </si>
  <si>
    <t>TOTAL 1 REHABILITATION BATIMENT PRINCIPAL</t>
  </si>
  <si>
    <t xml:space="preserve">2.2.1.2             </t>
  </si>
  <si>
    <t xml:space="preserve">Fo et Po fenêtre métallique pleines avec anti - vol de 150 cm x120cm  </t>
  </si>
  <si>
    <t>Dépose toiture existante (versants laterals)</t>
  </si>
  <si>
    <r>
      <t xml:space="preserve">Fondation en béton cyclopéen 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cm dosé à 300Kg/m3</t>
    </r>
  </si>
  <si>
    <r>
      <t xml:space="preserve">Fondation en moellon 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dosé à 250Kg/m3</t>
    </r>
  </si>
  <si>
    <t xml:space="preserve">Socles des fondations en béton armé  cm dosé à 350kg/m³  </t>
  </si>
  <si>
    <r>
      <t xml:space="preserve">Fo et Po du faux plafond en multi plex  4mm interieurs et extérieur du bâtiment sous gitages des chevrons de </t>
    </r>
    <r>
      <rPr>
        <sz val="10"/>
        <color theme="1"/>
        <rFont val="Calibri"/>
        <family val="2"/>
        <scheme val="minor"/>
      </rPr>
      <t>5x5cm</t>
    </r>
    <r>
      <rPr>
        <sz val="10"/>
        <rFont val="Calibri"/>
        <family val="2"/>
        <scheme val="minor"/>
      </rPr>
      <t xml:space="preserve"> (mail de 60x60 cm) y compris latte couvre joint et treillis de ventilantion des combles</t>
    </r>
  </si>
  <si>
    <t>Enduit tyrolien extérieur h.=150cm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</si>
</sst>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€-80C];\-#,##0.00\ [$€-80C]"/>
    <numFmt numFmtId="165" formatCode="#,##0.00\ [$€-80C]"/>
  </numFmts>
  <fonts count="23"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rgb="FF000000"/>
      <name val="CIDFont+F9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6" borderId="11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8" borderId="16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4" fillId="6" borderId="19" xfId="1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5" fillId="3" borderId="22" xfId="1" applyNumberFormat="1" applyFont="1" applyFill="1" applyBorder="1" applyAlignment="1">
      <alignment horizontal="center" vertical="center"/>
    </xf>
    <xf numFmtId="4" fontId="5" fillId="4" borderId="3" xfId="1" applyNumberFormat="1" applyFont="1" applyFill="1" applyBorder="1" applyAlignment="1">
      <alignment horizontal="center" vertical="center"/>
    </xf>
    <xf numFmtId="4" fontId="5" fillId="0" borderId="24" xfId="1" applyNumberFormat="1" applyFont="1" applyFill="1" applyBorder="1" applyAlignment="1">
      <alignment horizontal="center" vertical="center"/>
    </xf>
    <xf numFmtId="4" fontId="5" fillId="8" borderId="3" xfId="1" applyNumberFormat="1" applyFont="1" applyFill="1" applyBorder="1" applyAlignment="1">
      <alignment horizontal="center" vertical="center"/>
    </xf>
    <xf numFmtId="4" fontId="6" fillId="0" borderId="19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5" fillId="7" borderId="3" xfId="1" applyNumberFormat="1" applyFont="1" applyFill="1" applyBorder="1" applyAlignment="1">
      <alignment horizontal="center" vertical="center"/>
    </xf>
    <xf numFmtId="4" fontId="5" fillId="0" borderId="19" xfId="1" applyNumberFormat="1" applyFont="1" applyFill="1" applyBorder="1" applyAlignment="1">
      <alignment horizontal="center" vertical="center"/>
    </xf>
    <xf numFmtId="4" fontId="4" fillId="0" borderId="22" xfId="1" applyNumberFormat="1" applyFont="1" applyFill="1" applyBorder="1" applyAlignment="1">
      <alignment horizontal="center" vertical="center"/>
    </xf>
    <xf numFmtId="4" fontId="5" fillId="3" borderId="23" xfId="1" applyNumberFormat="1" applyFont="1" applyFill="1" applyBorder="1" applyAlignment="1">
      <alignment horizontal="center" vertical="center"/>
    </xf>
    <xf numFmtId="4" fontId="5" fillId="0" borderId="22" xfId="1" applyNumberFormat="1" applyFont="1" applyFill="1" applyBorder="1" applyAlignment="1">
      <alignment horizontal="center" vertical="center"/>
    </xf>
    <xf numFmtId="4" fontId="4" fillId="0" borderId="19" xfId="1" applyNumberFormat="1" applyFont="1" applyFill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/>
    </xf>
    <xf numFmtId="4" fontId="3" fillId="2" borderId="19" xfId="0" applyNumberFormat="1" applyFont="1" applyFill="1" applyBorder="1" applyAlignment="1">
      <alignment horizontal="center" vertical="center"/>
    </xf>
    <xf numFmtId="4" fontId="3" fillId="2" borderId="22" xfId="0" applyNumberFormat="1" applyFont="1" applyFill="1" applyBorder="1" applyAlignment="1">
      <alignment horizontal="center" vertical="center"/>
    </xf>
    <xf numFmtId="4" fontId="3" fillId="2" borderId="31" xfId="0" applyNumberFormat="1" applyFont="1" applyFill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4" fillId="7" borderId="3" xfId="0" applyNumberFormat="1" applyFont="1" applyFill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5" fillId="3" borderId="3" xfId="1" applyNumberFormat="1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horizontal="center" vertical="center"/>
    </xf>
    <xf numFmtId="4" fontId="4" fillId="0" borderId="23" xfId="1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9" borderId="5" xfId="0" applyFont="1" applyFill="1" applyBorder="1" applyAlignment="1">
      <alignment horizontal="center" vertical="center"/>
    </xf>
    <xf numFmtId="4" fontId="5" fillId="9" borderId="3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4" fontId="5" fillId="9" borderId="3" xfId="1" applyNumberFormat="1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 wrapText="1"/>
    </xf>
    <xf numFmtId="0" fontId="6" fillId="0" borderId="20" xfId="0" applyFont="1" applyBorder="1"/>
    <xf numFmtId="0" fontId="5" fillId="4" borderId="16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7" borderId="2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4" fontId="3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21" xfId="0" applyBorder="1"/>
    <xf numFmtId="0" fontId="7" fillId="2" borderId="4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3" xfId="0" applyFont="1" applyBorder="1"/>
    <xf numFmtId="0" fontId="4" fillId="0" borderId="15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7" borderId="1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4" fontId="5" fillId="5" borderId="48" xfId="0" applyNumberFormat="1" applyFont="1" applyFill="1" applyBorder="1" applyAlignment="1">
      <alignment horizontal="center" vertical="center"/>
    </xf>
    <xf numFmtId="4" fontId="4" fillId="6" borderId="31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/>
    </xf>
    <xf numFmtId="0" fontId="5" fillId="9" borderId="37" xfId="0" applyFont="1" applyFill="1" applyBorder="1" applyAlignment="1">
      <alignment horizontal="left"/>
    </xf>
    <xf numFmtId="0" fontId="11" fillId="9" borderId="17" xfId="0" applyFont="1" applyFill="1" applyBorder="1" applyAlignment="1">
      <alignment horizontal="center"/>
    </xf>
    <xf numFmtId="4" fontId="11" fillId="9" borderId="17" xfId="0" applyNumberFormat="1" applyFont="1" applyFill="1" applyBorder="1" applyAlignment="1">
      <alignment horizontal="center" vertical="center"/>
    </xf>
    <xf numFmtId="0" fontId="11" fillId="9" borderId="49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left"/>
    </xf>
    <xf numFmtId="0" fontId="11" fillId="10" borderId="6" xfId="0" applyFont="1" applyFill="1" applyBorder="1" applyAlignment="1">
      <alignment horizontal="center"/>
    </xf>
    <xf numFmtId="4" fontId="11" fillId="10" borderId="6" xfId="0" applyNumberFormat="1" applyFont="1" applyFill="1" applyBorder="1" applyAlignment="1">
      <alignment horizontal="center" vertical="center"/>
    </xf>
    <xf numFmtId="0" fontId="11" fillId="10" borderId="50" xfId="0" applyFont="1" applyFill="1" applyBorder="1" applyAlignment="1">
      <alignment horizontal="center" vertical="center"/>
    </xf>
    <xf numFmtId="4" fontId="5" fillId="8" borderId="48" xfId="1" applyNumberFormat="1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left" vertical="center"/>
    </xf>
    <xf numFmtId="0" fontId="12" fillId="0" borderId="18" xfId="0" applyFont="1" applyBorder="1"/>
    <xf numFmtId="4" fontId="5" fillId="0" borderId="51" xfId="0" applyNumberFormat="1" applyFont="1" applyBorder="1" applyAlignment="1">
      <alignment horizontal="center" vertical="center"/>
    </xf>
    <xf numFmtId="4" fontId="5" fillId="9" borderId="48" xfId="0" applyNumberFormat="1" applyFont="1" applyFill="1" applyBorder="1" applyAlignment="1">
      <alignment horizontal="center" vertical="center"/>
    </xf>
    <xf numFmtId="4" fontId="5" fillId="0" borderId="51" xfId="1" applyNumberFormat="1" applyFont="1" applyFill="1" applyBorder="1" applyAlignment="1">
      <alignment horizontal="center" vertical="center"/>
    </xf>
    <xf numFmtId="4" fontId="6" fillId="0" borderId="52" xfId="1" applyNumberFormat="1" applyFont="1" applyFill="1" applyBorder="1" applyAlignment="1">
      <alignment horizontal="center" vertical="center"/>
    </xf>
    <xf numFmtId="4" fontId="4" fillId="6" borderId="42" xfId="1" applyNumberFormat="1" applyFont="1" applyFill="1" applyBorder="1" applyAlignment="1">
      <alignment horizontal="center" vertical="center"/>
    </xf>
    <xf numFmtId="4" fontId="4" fillId="0" borderId="42" xfId="1" applyNumberFormat="1" applyFont="1" applyBorder="1" applyAlignment="1">
      <alignment horizontal="center" vertical="center"/>
    </xf>
    <xf numFmtId="4" fontId="5" fillId="7" borderId="48" xfId="1" applyNumberFormat="1" applyFont="1" applyFill="1" applyBorder="1" applyAlignment="1">
      <alignment horizontal="center" vertical="center"/>
    </xf>
    <xf numFmtId="4" fontId="5" fillId="0" borderId="52" xfId="1" applyNumberFormat="1" applyFont="1" applyFill="1" applyBorder="1" applyAlignment="1">
      <alignment horizontal="center" vertical="center"/>
    </xf>
    <xf numFmtId="4" fontId="5" fillId="0" borderId="53" xfId="1" applyNumberFormat="1" applyFont="1" applyFill="1" applyBorder="1" applyAlignment="1">
      <alignment horizontal="center" vertical="center"/>
    </xf>
    <xf numFmtId="4" fontId="5" fillId="3" borderId="48" xfId="1" applyNumberFormat="1" applyFont="1" applyFill="1" applyBorder="1" applyAlignment="1">
      <alignment horizontal="center" vertical="center"/>
    </xf>
    <xf numFmtId="4" fontId="4" fillId="0" borderId="52" xfId="1" applyNumberFormat="1" applyFont="1" applyBorder="1" applyAlignment="1">
      <alignment horizontal="center" vertical="center"/>
    </xf>
    <xf numFmtId="4" fontId="4" fillId="0" borderId="44" xfId="1" applyNumberFormat="1" applyFont="1" applyBorder="1" applyAlignment="1">
      <alignment horizontal="center" vertical="center"/>
    </xf>
    <xf numFmtId="4" fontId="5" fillId="0" borderId="42" xfId="1" applyNumberFormat="1" applyFont="1" applyFill="1" applyBorder="1" applyAlignment="1">
      <alignment horizontal="center" vertical="center"/>
    </xf>
    <xf numFmtId="4" fontId="3" fillId="2" borderId="42" xfId="0" applyNumberFormat="1" applyFont="1" applyFill="1" applyBorder="1" applyAlignment="1">
      <alignment horizontal="center" vertical="center"/>
    </xf>
    <xf numFmtId="4" fontId="4" fillId="6" borderId="44" xfId="1" applyNumberFormat="1" applyFont="1" applyFill="1" applyBorder="1" applyAlignment="1">
      <alignment horizontal="center" vertical="center"/>
    </xf>
    <xf numFmtId="4" fontId="3" fillId="2" borderId="44" xfId="0" applyNumberFormat="1" applyFont="1" applyFill="1" applyBorder="1" applyAlignment="1">
      <alignment horizontal="center" vertical="center"/>
    </xf>
    <xf numFmtId="4" fontId="3" fillId="7" borderId="48" xfId="0" applyNumberFormat="1" applyFont="1" applyFill="1" applyBorder="1" applyAlignment="1">
      <alignment horizontal="center" vertical="center"/>
    </xf>
    <xf numFmtId="4" fontId="4" fillId="7" borderId="48" xfId="0" applyNumberFormat="1" applyFont="1" applyFill="1" applyBorder="1" applyAlignment="1">
      <alignment horizontal="center" vertical="center"/>
    </xf>
    <xf numFmtId="4" fontId="3" fillId="2" borderId="52" xfId="0" applyNumberFormat="1" applyFont="1" applyFill="1" applyBorder="1" applyAlignment="1">
      <alignment horizontal="center" vertical="center"/>
    </xf>
    <xf numFmtId="4" fontId="9" fillId="3" borderId="48" xfId="0" applyNumberFormat="1" applyFont="1" applyFill="1" applyBorder="1" applyAlignment="1">
      <alignment horizontal="center" vertical="center"/>
    </xf>
    <xf numFmtId="4" fontId="5" fillId="3" borderId="44" xfId="1" applyNumberFormat="1" applyFont="1" applyFill="1" applyBorder="1" applyAlignment="1">
      <alignment horizontal="center" vertical="center"/>
    </xf>
    <xf numFmtId="4" fontId="5" fillId="0" borderId="44" xfId="1" applyNumberFormat="1" applyFont="1" applyFill="1" applyBorder="1" applyAlignment="1">
      <alignment horizontal="center" vertical="center"/>
    </xf>
    <xf numFmtId="4" fontId="11" fillId="9" borderId="16" xfId="0" applyNumberFormat="1" applyFont="1" applyFill="1" applyBorder="1" applyAlignment="1">
      <alignment horizontal="center" vertical="center"/>
    </xf>
    <xf numFmtId="4" fontId="5" fillId="0" borderId="54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2" xfId="1" applyNumberFormat="1" applyFont="1" applyFill="1" applyBorder="1" applyAlignment="1">
      <alignment horizontal="center" vertical="center"/>
    </xf>
    <xf numFmtId="4" fontId="3" fillId="0" borderId="42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horizontal="center" vertical="center"/>
    </xf>
    <xf numFmtId="4" fontId="9" fillId="0" borderId="42" xfId="0" applyNumberFormat="1" applyFont="1" applyBorder="1" applyAlignment="1">
      <alignment horizontal="center" vertical="center"/>
    </xf>
    <xf numFmtId="4" fontId="9" fillId="0" borderId="4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" fontId="3" fillId="0" borderId="23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vertical="center" wrapText="1"/>
    </xf>
    <xf numFmtId="164" fontId="11" fillId="0" borderId="16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164" fontId="11" fillId="10" borderId="16" xfId="0" applyNumberFormat="1" applyFont="1" applyFill="1" applyBorder="1" applyAlignment="1">
      <alignment horizontal="center" vertical="center"/>
    </xf>
    <xf numFmtId="165" fontId="4" fillId="6" borderId="52" xfId="1" applyNumberFormat="1" applyFont="1" applyFill="1" applyBorder="1" applyAlignment="1">
      <alignment horizontal="center" vertical="center"/>
    </xf>
    <xf numFmtId="165" fontId="5" fillId="3" borderId="42" xfId="0" applyNumberFormat="1" applyFont="1" applyFill="1" applyBorder="1" applyAlignment="1">
      <alignment horizontal="center" vertical="center"/>
    </xf>
    <xf numFmtId="165" fontId="5" fillId="9" borderId="48" xfId="0" applyNumberFormat="1" applyFont="1" applyFill="1" applyBorder="1" applyAlignment="1">
      <alignment horizontal="center" vertical="center"/>
    </xf>
    <xf numFmtId="165" fontId="5" fillId="3" borderId="42" xfId="1" applyNumberFormat="1" applyFont="1" applyFill="1" applyBorder="1" applyAlignment="1">
      <alignment horizontal="center" vertical="center"/>
    </xf>
    <xf numFmtId="165" fontId="5" fillId="4" borderId="48" xfId="1" applyNumberFormat="1" applyFont="1" applyFill="1" applyBorder="1" applyAlignment="1">
      <alignment horizontal="center" vertical="center"/>
    </xf>
    <xf numFmtId="165" fontId="5" fillId="7" borderId="48" xfId="1" applyNumberFormat="1" applyFont="1" applyFill="1" applyBorder="1" applyAlignment="1">
      <alignment horizontal="center" vertical="center"/>
    </xf>
    <xf numFmtId="165" fontId="5" fillId="3" borderId="48" xfId="1" applyNumberFormat="1" applyFont="1" applyFill="1" applyBorder="1" applyAlignment="1">
      <alignment horizontal="center" vertical="center"/>
    </xf>
    <xf numFmtId="165" fontId="8" fillId="0" borderId="51" xfId="0" applyNumberFormat="1" applyFont="1" applyBorder="1" applyAlignment="1">
      <alignment horizontal="center" vertical="center"/>
    </xf>
    <xf numFmtId="165" fontId="3" fillId="2" borderId="41" xfId="0" applyNumberFormat="1" applyFont="1" applyFill="1" applyBorder="1" applyAlignment="1">
      <alignment horizontal="center" vertical="center"/>
    </xf>
    <xf numFmtId="165" fontId="3" fillId="2" borderId="42" xfId="0" applyNumberFormat="1" applyFont="1" applyFill="1" applyBorder="1" applyAlignment="1">
      <alignment horizontal="center" vertical="center"/>
    </xf>
    <xf numFmtId="165" fontId="3" fillId="2" borderId="43" xfId="0" applyNumberFormat="1" applyFont="1" applyFill="1" applyBorder="1" applyAlignment="1">
      <alignment horizontal="center" vertical="center"/>
    </xf>
    <xf numFmtId="165" fontId="3" fillId="0" borderId="51" xfId="0" applyNumberFormat="1" applyFont="1" applyBorder="1" applyAlignment="1">
      <alignment horizontal="center" vertical="center"/>
    </xf>
    <xf numFmtId="165" fontId="3" fillId="2" borderId="44" xfId="0" applyNumberFormat="1" applyFont="1" applyFill="1" applyBorder="1" applyAlignment="1">
      <alignment horizontal="center" vertical="center"/>
    </xf>
    <xf numFmtId="165" fontId="5" fillId="4" borderId="16" xfId="1" applyNumberFormat="1" applyFont="1" applyFill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20" xfId="0" applyBorder="1" applyAlignment="1">
      <alignment horizontal="justify" vertical="center"/>
    </xf>
    <xf numFmtId="0" fontId="4" fillId="0" borderId="18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12" fillId="0" borderId="43" xfId="0" applyFont="1" applyBorder="1"/>
    <xf numFmtId="0" fontId="4" fillId="6" borderId="21" xfId="0" applyFont="1" applyFill="1" applyBorder="1" applyAlignment="1">
      <alignment vertical="center" wrapText="1"/>
    </xf>
    <xf numFmtId="2" fontId="0" fillId="0" borderId="0" xfId="0" applyNumberFormat="1"/>
    <xf numFmtId="4" fontId="0" fillId="0" borderId="0" xfId="0" applyNumberFormat="1"/>
    <xf numFmtId="0" fontId="4" fillId="0" borderId="33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34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5" borderId="16" xfId="0" applyFont="1" applyFill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9" borderId="16" xfId="0" applyFont="1" applyFill="1" applyBorder="1" applyAlignment="1">
      <alignment horizontal="right" vertical="center"/>
    </xf>
    <xf numFmtId="0" fontId="4" fillId="6" borderId="15" xfId="0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8" borderId="16" xfId="0" applyFont="1" applyFill="1" applyBorder="1" applyAlignment="1">
      <alignment horizontal="right" vertical="center" wrapText="1"/>
    </xf>
    <xf numFmtId="0" fontId="15" fillId="0" borderId="33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15" fillId="6" borderId="34" xfId="0" applyFont="1" applyFill="1" applyBorder="1" applyAlignment="1">
      <alignment horizontal="right" vertical="center" wrapText="1"/>
    </xf>
    <xf numFmtId="0" fontId="15" fillId="0" borderId="28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 wrapText="1"/>
    </xf>
    <xf numFmtId="0" fontId="15" fillId="0" borderId="34" xfId="0" applyFont="1" applyBorder="1" applyAlignment="1">
      <alignment horizontal="right" vertical="center" wrapText="1"/>
    </xf>
    <xf numFmtId="0" fontId="0" fillId="0" borderId="28" xfId="0" applyBorder="1" applyAlignment="1">
      <alignment horizontal="right" vertical="center"/>
    </xf>
    <xf numFmtId="0" fontId="7" fillId="6" borderId="30" xfId="0" applyFont="1" applyFill="1" applyBorder="1" applyAlignment="1">
      <alignment horizontal="right" vertical="center" wrapText="1"/>
    </xf>
    <xf numFmtId="0" fontId="5" fillId="3" borderId="16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7" borderId="16" xfId="0" applyFont="1" applyFill="1" applyBorder="1" applyAlignment="1">
      <alignment horizontal="right" vertical="center" wrapText="1"/>
    </xf>
    <xf numFmtId="0" fontId="15" fillId="0" borderId="15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7" borderId="16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5" fillId="3" borderId="21" xfId="0" applyFont="1" applyFill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4" borderId="25" xfId="0" applyFont="1" applyFill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/>
    </xf>
    <xf numFmtId="0" fontId="5" fillId="7" borderId="25" xfId="0" applyFont="1" applyFill="1" applyBorder="1" applyAlignment="1">
      <alignment horizontal="right" vertical="center" wrapText="1"/>
    </xf>
    <xf numFmtId="0" fontId="4" fillId="2" borderId="33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/>
    </xf>
    <xf numFmtId="0" fontId="5" fillId="9" borderId="37" xfId="0" applyFont="1" applyFill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5" fillId="10" borderId="25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6" fillId="0" borderId="0" xfId="0" applyFont="1"/>
    <xf numFmtId="0" fontId="5" fillId="0" borderId="37" xfId="0" applyFont="1" applyBorder="1" applyAlignment="1">
      <alignment horizontal="center" vertical="center" wrapText="1"/>
    </xf>
    <xf numFmtId="0" fontId="0" fillId="0" borderId="47" xfId="0" applyBorder="1" applyAlignment="1">
      <alignment horizontal="right"/>
    </xf>
    <xf numFmtId="0" fontId="19" fillId="0" borderId="55" xfId="0" applyFont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4" fillId="0" borderId="0" xfId="0" applyFont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17" fillId="0" borderId="0" xfId="0" applyFont="1"/>
    <xf numFmtId="0" fontId="4" fillId="6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165" fontId="5" fillId="0" borderId="44" xfId="0" applyNumberFormat="1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/>
    </xf>
    <xf numFmtId="4" fontId="5" fillId="6" borderId="23" xfId="1" applyNumberFormat="1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165" fontId="5" fillId="6" borderId="44" xfId="1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4" fontId="6" fillId="0" borderId="36" xfId="1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4" fontId="6" fillId="0" borderId="41" xfId="1" applyNumberFormat="1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4" fontId="4" fillId="6" borderId="22" xfId="1" applyNumberFormat="1" applyFont="1" applyFill="1" applyBorder="1" applyAlignment="1">
      <alignment horizontal="center" vertical="center"/>
    </xf>
    <xf numFmtId="165" fontId="4" fillId="6" borderId="42" xfId="1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8" xfId="0" applyFont="1" applyBorder="1"/>
    <xf numFmtId="0" fontId="4" fillId="6" borderId="34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4" fontId="4" fillId="6" borderId="23" xfId="1" applyNumberFormat="1" applyFont="1" applyFill="1" applyBorder="1" applyAlignment="1">
      <alignment horizontal="center" vertical="center"/>
    </xf>
    <xf numFmtId="165" fontId="4" fillId="6" borderId="44" xfId="1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4" fontId="5" fillId="0" borderId="58" xfId="1" applyNumberFormat="1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165" fontId="5" fillId="0" borderId="59" xfId="1" applyNumberFormat="1" applyFont="1" applyFill="1" applyBorder="1" applyAlignment="1">
      <alignment horizontal="center" vertical="center"/>
    </xf>
    <xf numFmtId="165" fontId="5" fillId="8" borderId="48" xfId="1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4" fontId="4" fillId="0" borderId="22" xfId="1" applyNumberFormat="1" applyFont="1" applyBorder="1" applyAlignment="1">
      <alignment horizontal="center" vertical="center"/>
    </xf>
    <xf numFmtId="165" fontId="4" fillId="0" borderId="42" xfId="1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" fontId="5" fillId="0" borderId="24" xfId="1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5" fontId="5" fillId="0" borderId="53" xfId="1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165" fontId="5" fillId="0" borderId="52" xfId="1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65" fontId="5" fillId="0" borderId="53" xfId="1" applyNumberFormat="1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20" fillId="0" borderId="0" xfId="0" applyFont="1"/>
    <xf numFmtId="0" fontId="6" fillId="0" borderId="34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center" vertical="center"/>
    </xf>
    <xf numFmtId="4" fontId="4" fillId="0" borderId="31" xfId="1" applyNumberFormat="1" applyFont="1" applyBorder="1" applyAlignment="1">
      <alignment horizontal="center" vertical="center"/>
    </xf>
    <xf numFmtId="0" fontId="4" fillId="0" borderId="40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4" fontId="4" fillId="0" borderId="23" xfId="1" applyNumberFormat="1" applyFont="1" applyBorder="1" applyAlignment="1">
      <alignment horizontal="center" vertical="center"/>
    </xf>
    <xf numFmtId="165" fontId="4" fillId="0" borderId="44" xfId="1" applyNumberFormat="1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/>
    </xf>
    <xf numFmtId="4" fontId="5" fillId="7" borderId="24" xfId="1" applyNumberFormat="1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165" fontId="5" fillId="7" borderId="53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4" fontId="6" fillId="0" borderId="22" xfId="1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6" fillId="0" borderId="42" xfId="1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4" fillId="0" borderId="52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165" fontId="4" fillId="0" borderId="22" xfId="1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5" fillId="0" borderId="63" xfId="0" applyFont="1" applyBorder="1" applyAlignment="1">
      <alignment horizontal="left" vertical="center" wrapText="1"/>
    </xf>
    <xf numFmtId="165" fontId="4" fillId="0" borderId="52" xfId="1" applyNumberFormat="1" applyFont="1" applyFill="1" applyBorder="1" applyAlignment="1">
      <alignment horizontal="center" vertical="center"/>
    </xf>
    <xf numFmtId="165" fontId="4" fillId="0" borderId="42" xfId="1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center" vertical="center"/>
    </xf>
    <xf numFmtId="4" fontId="5" fillId="0" borderId="61" xfId="1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165" fontId="5" fillId="0" borderId="62" xfId="1" applyNumberFormat="1" applyFont="1" applyFill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165" fontId="5" fillId="0" borderId="42" xfId="1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horizontal="center" vertical="center"/>
    </xf>
    <xf numFmtId="4" fontId="5" fillId="3" borderId="58" xfId="1" applyNumberFormat="1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165" fontId="5" fillId="3" borderId="59" xfId="1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5" fontId="5" fillId="3" borderId="48" xfId="1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61" xfId="0" applyFont="1" applyBorder="1" applyAlignment="1">
      <alignment horizontal="center" vertical="center"/>
    </xf>
    <xf numFmtId="165" fontId="4" fillId="0" borderId="62" xfId="1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" fontId="3" fillId="2" borderId="32" xfId="0" applyNumberFormat="1" applyFont="1" applyFill="1" applyBorder="1" applyAlignment="1">
      <alignment horizontal="center" vertical="center"/>
    </xf>
    <xf numFmtId="165" fontId="3" fillId="2" borderId="6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/>
    </xf>
    <xf numFmtId="0" fontId="7" fillId="6" borderId="11" xfId="0" applyFont="1" applyFill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7" fillId="0" borderId="10" xfId="0" applyFont="1" applyBorder="1" applyAlignment="1">
      <alignment vertical="center" wrapText="1"/>
    </xf>
    <xf numFmtId="0" fontId="7" fillId="0" borderId="60" xfId="0" applyFont="1" applyBorder="1" applyAlignment="1">
      <alignment horizontal="center" vertical="center"/>
    </xf>
    <xf numFmtId="4" fontId="7" fillId="0" borderId="61" xfId="1" applyNumberFormat="1" applyFont="1" applyBorder="1" applyAlignment="1">
      <alignment horizontal="center" vertical="center"/>
    </xf>
    <xf numFmtId="0" fontId="7" fillId="2" borderId="21" xfId="0" applyFont="1" applyFill="1" applyBorder="1" applyAlignment="1">
      <alignment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left" vertical="center" wrapText="1"/>
    </xf>
    <xf numFmtId="0" fontId="5" fillId="9" borderId="50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50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0" xfId="0" applyFont="1" applyBorder="1" applyAlignment="1">
      <alignment horizont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54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left" vertical="center"/>
    </xf>
    <xf numFmtId="0" fontId="5" fillId="9" borderId="6" xfId="0" applyFont="1" applyFill="1" applyBorder="1" applyAlignment="1">
      <alignment horizontal="left" vertical="center"/>
    </xf>
    <xf numFmtId="0" fontId="5" fillId="9" borderId="50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7F90-A145-4876-9E8F-E217DDD49923}">
  <dimension ref="A1:M599"/>
  <sheetViews>
    <sheetView tabSelected="1" topLeftCell="A159" workbookViewId="0">
      <selection activeCell="J171" sqref="J171"/>
    </sheetView>
  </sheetViews>
  <sheetFormatPr baseColWidth="10" defaultColWidth="11.453125" defaultRowHeight="14.5"/>
  <cols>
    <col min="1" max="1" width="8.453125" style="300" customWidth="1"/>
    <col min="2" max="2" width="57.453125" customWidth="1"/>
  </cols>
  <sheetData>
    <row r="1" spans="1:6" ht="15" thickBot="1"/>
    <row r="2" spans="1:6">
      <c r="A2" s="490" t="s">
        <v>225</v>
      </c>
      <c r="B2" s="491"/>
      <c r="C2" s="491"/>
      <c r="D2" s="491"/>
      <c r="E2" s="491"/>
      <c r="F2" s="492"/>
    </row>
    <row r="3" spans="1:6">
      <c r="A3" s="493"/>
      <c r="B3" s="494"/>
      <c r="C3" s="494"/>
      <c r="D3" s="494"/>
      <c r="E3" s="494"/>
      <c r="F3" s="495"/>
    </row>
    <row r="4" spans="1:6" ht="15" thickBot="1">
      <c r="A4" s="303"/>
      <c r="B4" s="304" t="s">
        <v>226</v>
      </c>
      <c r="C4" s="305"/>
      <c r="D4" s="305"/>
      <c r="E4" s="305"/>
      <c r="F4" s="306"/>
    </row>
    <row r="5" spans="1:6">
      <c r="A5" s="499"/>
      <c r="B5" s="499"/>
      <c r="C5" s="499"/>
      <c r="D5" s="499"/>
      <c r="E5" s="499"/>
      <c r="F5" s="499"/>
    </row>
    <row r="6" spans="1:6">
      <c r="A6" s="480" t="s">
        <v>343</v>
      </c>
      <c r="B6" s="480"/>
      <c r="C6" s="480"/>
      <c r="D6" s="480"/>
      <c r="E6" s="480"/>
      <c r="F6" s="480"/>
    </row>
    <row r="7" spans="1:6">
      <c r="A7" s="480"/>
      <c r="B7" s="480"/>
      <c r="C7" s="480"/>
      <c r="D7" s="480"/>
      <c r="E7" s="480"/>
      <c r="F7" s="480"/>
    </row>
    <row r="8" spans="1:6" ht="15" thickBot="1">
      <c r="A8" s="243"/>
      <c r="B8" s="110"/>
      <c r="C8" s="109"/>
      <c r="D8" s="108"/>
      <c r="E8" s="109"/>
      <c r="F8" s="108"/>
    </row>
    <row r="9" spans="1:6" ht="15" thickBot="1">
      <c r="A9" s="244" t="s">
        <v>0</v>
      </c>
      <c r="B9" s="8" t="s">
        <v>1</v>
      </c>
      <c r="C9" s="7" t="s">
        <v>2</v>
      </c>
      <c r="D9" s="75" t="s">
        <v>3</v>
      </c>
      <c r="E9" s="41" t="s">
        <v>4</v>
      </c>
      <c r="F9" s="163" t="s">
        <v>5</v>
      </c>
    </row>
    <row r="10" spans="1:6" ht="15" thickBot="1">
      <c r="A10" s="245"/>
      <c r="B10" s="24"/>
      <c r="C10" s="25"/>
      <c r="D10" s="76"/>
      <c r="E10" s="13"/>
      <c r="F10" s="177"/>
    </row>
    <row r="11" spans="1:6" ht="15" thickBot="1">
      <c r="A11" s="246">
        <v>0</v>
      </c>
      <c r="B11" s="175" t="s">
        <v>6</v>
      </c>
      <c r="C11" s="111"/>
      <c r="D11" s="112"/>
      <c r="E11" s="113"/>
      <c r="F11" s="178"/>
    </row>
    <row r="12" spans="1:6">
      <c r="A12" s="247" t="s">
        <v>7</v>
      </c>
      <c r="B12" s="21" t="s">
        <v>8</v>
      </c>
      <c r="C12" s="22" t="s">
        <v>9</v>
      </c>
      <c r="D12" s="77">
        <v>1</v>
      </c>
      <c r="E12" s="42"/>
      <c r="F12" s="215">
        <f>E12*D12</f>
        <v>0</v>
      </c>
    </row>
    <row r="13" spans="1:6" ht="15" thickBot="1">
      <c r="A13" s="248"/>
      <c r="B13" s="9" t="s">
        <v>10</v>
      </c>
      <c r="C13" s="4"/>
      <c r="D13" s="78"/>
      <c r="E13" s="43"/>
      <c r="F13" s="216">
        <f>SUM(F12:F12)</f>
        <v>0</v>
      </c>
    </row>
    <row r="14" spans="1:6" ht="15" thickBot="1">
      <c r="A14" s="246">
        <v>1</v>
      </c>
      <c r="B14" s="23" t="s">
        <v>11</v>
      </c>
      <c r="C14" s="111"/>
      <c r="D14" s="114"/>
      <c r="E14" s="113"/>
      <c r="F14" s="217"/>
    </row>
    <row r="15" spans="1:6">
      <c r="A15" s="247" t="s">
        <v>12</v>
      </c>
      <c r="B15" s="21" t="s">
        <v>13</v>
      </c>
      <c r="C15" s="22" t="s">
        <v>14</v>
      </c>
      <c r="D15" s="164">
        <f>2*(13*7)</f>
        <v>182</v>
      </c>
      <c r="E15" s="42"/>
      <c r="F15" s="215">
        <f>E15*D15</f>
        <v>0</v>
      </c>
    </row>
    <row r="16" spans="1:6" ht="15" thickBot="1">
      <c r="A16" s="249"/>
      <c r="B16" s="9" t="s">
        <v>15</v>
      </c>
      <c r="C16" s="4"/>
      <c r="D16" s="79"/>
      <c r="E16" s="43"/>
      <c r="F16" s="218">
        <f>SUM(F15)</f>
        <v>0</v>
      </c>
    </row>
    <row r="17" spans="1:13" ht="27" thickBot="1">
      <c r="A17" s="250"/>
      <c r="B17" s="10" t="s">
        <v>16</v>
      </c>
      <c r="C17" s="11"/>
      <c r="D17" s="80"/>
      <c r="E17" s="5"/>
      <c r="F17" s="219">
        <f>+F13+F16</f>
        <v>0</v>
      </c>
    </row>
    <row r="18" spans="1:13" ht="15" thickBot="1">
      <c r="A18" s="471"/>
      <c r="B18" s="472"/>
      <c r="C18" s="472"/>
      <c r="D18" s="472"/>
      <c r="E18" s="472"/>
      <c r="F18" s="473"/>
    </row>
    <row r="19" spans="1:13" ht="15" thickBot="1">
      <c r="A19" s="496" t="s">
        <v>17</v>
      </c>
      <c r="B19" s="497"/>
      <c r="C19" s="497"/>
      <c r="D19" s="497"/>
      <c r="E19" s="497"/>
      <c r="F19" s="498"/>
    </row>
    <row r="20" spans="1:13" ht="15" thickBot="1">
      <c r="A20" s="251">
        <v>2</v>
      </c>
      <c r="B20" s="121" t="s">
        <v>18</v>
      </c>
      <c r="C20" s="25"/>
      <c r="D20" s="84"/>
      <c r="E20" s="13"/>
      <c r="F20" s="179"/>
    </row>
    <row r="21" spans="1:13" ht="15" thickBot="1">
      <c r="A21" s="252" t="s">
        <v>19</v>
      </c>
      <c r="B21" s="29" t="s">
        <v>20</v>
      </c>
      <c r="C21" s="19"/>
      <c r="D21" s="82"/>
      <c r="E21" s="46"/>
      <c r="F21" s="174"/>
    </row>
    <row r="22" spans="1:13">
      <c r="A22" s="253" t="s">
        <v>21</v>
      </c>
      <c r="B22" s="211" t="s">
        <v>22</v>
      </c>
      <c r="C22" s="28"/>
      <c r="D22" s="83"/>
      <c r="E22" s="47"/>
      <c r="F22" s="180"/>
    </row>
    <row r="23" spans="1:13">
      <c r="A23" s="253" t="s">
        <v>23</v>
      </c>
      <c r="B23" s="27" t="s">
        <v>24</v>
      </c>
      <c r="C23" s="28"/>
      <c r="D23" s="83"/>
      <c r="E23" s="47"/>
      <c r="F23" s="180"/>
    </row>
    <row r="24" spans="1:13">
      <c r="A24" s="254" t="s">
        <v>25</v>
      </c>
      <c r="B24" s="147" t="s">
        <v>26</v>
      </c>
      <c r="C24" s="32" t="s">
        <v>27</v>
      </c>
      <c r="D24" s="116">
        <f>(1.55+5.35+10.46)*0.35*1</f>
        <v>6.0759999999999996</v>
      </c>
      <c r="E24" s="47"/>
      <c r="F24" s="181">
        <f>E24*D24</f>
        <v>0</v>
      </c>
    </row>
    <row r="25" spans="1:13">
      <c r="A25" s="253" t="s">
        <v>28</v>
      </c>
      <c r="B25" s="27" t="s">
        <v>29</v>
      </c>
      <c r="C25" s="28"/>
      <c r="D25" s="83"/>
      <c r="E25" s="47"/>
      <c r="F25" s="180"/>
    </row>
    <row r="26" spans="1:13">
      <c r="A26" s="255" t="s">
        <v>30</v>
      </c>
      <c r="B26" s="115" t="s">
        <v>31</v>
      </c>
      <c r="C26" s="116" t="s">
        <v>32</v>
      </c>
      <c r="D26" s="87">
        <f>9.55*3.35*3</f>
        <v>95.977500000000006</v>
      </c>
      <c r="E26" s="117"/>
      <c r="F26" s="181">
        <f>E26*D26</f>
        <v>0</v>
      </c>
    </row>
    <row r="27" spans="1:13" ht="15.5">
      <c r="A27" s="256" t="s">
        <v>33</v>
      </c>
      <c r="B27" s="118" t="s">
        <v>34</v>
      </c>
      <c r="C27" s="116"/>
      <c r="D27" s="87"/>
      <c r="E27" s="117"/>
      <c r="F27" s="181"/>
      <c r="M27" s="301"/>
    </row>
    <row r="28" spans="1:13" ht="15.5">
      <c r="A28" s="255" t="s">
        <v>35</v>
      </c>
      <c r="B28" s="115" t="s">
        <v>36</v>
      </c>
      <c r="C28" s="116" t="s">
        <v>32</v>
      </c>
      <c r="D28" s="116">
        <f>(1.55+5.35+10.46)*0.35*0.05</f>
        <v>0.30380000000000001</v>
      </c>
      <c r="E28" s="117"/>
      <c r="F28" s="181">
        <f>E28*D28</f>
        <v>0</v>
      </c>
      <c r="M28" s="301"/>
    </row>
    <row r="29" spans="1:13">
      <c r="A29" s="255" t="s">
        <v>37</v>
      </c>
      <c r="B29" s="118" t="s">
        <v>38</v>
      </c>
      <c r="C29" s="116"/>
      <c r="D29" s="87"/>
      <c r="E29" s="117"/>
      <c r="F29" s="181"/>
    </row>
    <row r="30" spans="1:13">
      <c r="A30" s="255" t="s">
        <v>39</v>
      </c>
      <c r="B30" s="145" t="s">
        <v>40</v>
      </c>
      <c r="C30" s="116" t="s">
        <v>32</v>
      </c>
      <c r="D30" s="116">
        <f>(1.55+5.35+10.46)*0.35*0.95</f>
        <v>5.7721999999999998</v>
      </c>
      <c r="E30" s="117"/>
      <c r="F30" s="181">
        <f>E30*D30</f>
        <v>0</v>
      </c>
    </row>
    <row r="31" spans="1:13" ht="26">
      <c r="A31" s="255" t="s">
        <v>41</v>
      </c>
      <c r="B31" s="115" t="s">
        <v>42</v>
      </c>
      <c r="C31" s="116" t="s">
        <v>32</v>
      </c>
      <c r="D31" s="87">
        <f>((9.55*2)+(3.35*3))*0.35*3</f>
        <v>30.607500000000002</v>
      </c>
      <c r="E31" s="117"/>
      <c r="F31" s="181">
        <f>E31*D31</f>
        <v>0</v>
      </c>
    </row>
    <row r="32" spans="1:13">
      <c r="A32" s="257" t="s">
        <v>43</v>
      </c>
      <c r="B32" s="119" t="s">
        <v>44</v>
      </c>
      <c r="C32" s="116"/>
      <c r="D32" s="87"/>
      <c r="E32" s="117"/>
      <c r="F32" s="181"/>
    </row>
    <row r="33" spans="1:6">
      <c r="A33" s="255" t="s">
        <v>45</v>
      </c>
      <c r="B33" s="115" t="s">
        <v>46</v>
      </c>
      <c r="C33" s="116" t="s">
        <v>32</v>
      </c>
      <c r="D33" s="87">
        <f>0.35*0.35*0.95*6</f>
        <v>0.69824999999999982</v>
      </c>
      <c r="E33" s="117"/>
      <c r="F33" s="181">
        <f>E33*D33</f>
        <v>0</v>
      </c>
    </row>
    <row r="34" spans="1:6" ht="29">
      <c r="A34" s="240" t="s">
        <v>47</v>
      </c>
      <c r="B34" s="231" t="s">
        <v>48</v>
      </c>
      <c r="C34" s="116" t="s">
        <v>32</v>
      </c>
      <c r="D34" s="116">
        <f>(1.55+5.35+10.46)*0.35*0.05</f>
        <v>0.30380000000000001</v>
      </c>
      <c r="E34" s="117"/>
      <c r="F34" s="181">
        <f>E34*D34</f>
        <v>0</v>
      </c>
    </row>
    <row r="35" spans="1:6" ht="26" customHeight="1">
      <c r="A35" s="258" t="s">
        <v>49</v>
      </c>
      <c r="B35" s="107" t="s">
        <v>50</v>
      </c>
      <c r="C35" s="116" t="s">
        <v>32</v>
      </c>
      <c r="D35" s="90">
        <f>(10*0.35*0.35*3)</f>
        <v>3.6749999999999998</v>
      </c>
      <c r="E35" s="117"/>
      <c r="F35" s="181">
        <f>E35*D35</f>
        <v>0</v>
      </c>
    </row>
    <row r="36" spans="1:6">
      <c r="A36" s="259" t="s">
        <v>51</v>
      </c>
      <c r="B36" s="145" t="s">
        <v>52</v>
      </c>
      <c r="C36" s="116"/>
      <c r="D36" s="87"/>
      <c r="E36" s="117"/>
      <c r="F36" s="181"/>
    </row>
    <row r="37" spans="1:6">
      <c r="A37" s="258" t="s">
        <v>53</v>
      </c>
      <c r="B37" s="115" t="s">
        <v>54</v>
      </c>
      <c r="C37" s="116" t="s">
        <v>32</v>
      </c>
      <c r="D37" s="87">
        <f>((9.55*2)+(3.35*5))*0.35*0.3</f>
        <v>3.7642499999999997</v>
      </c>
      <c r="E37" s="117"/>
      <c r="F37" s="181">
        <f>E37*D37</f>
        <v>0</v>
      </c>
    </row>
    <row r="38" spans="1:6">
      <c r="A38" s="258" t="s">
        <v>55</v>
      </c>
      <c r="B38" s="115" t="s">
        <v>56</v>
      </c>
      <c r="C38" s="116" t="s">
        <v>32</v>
      </c>
      <c r="D38" s="87">
        <f>((9.55*2)+(3.35*5))*0.35*0.3</f>
        <v>3.7642499999999997</v>
      </c>
      <c r="E38" s="117"/>
      <c r="F38" s="181">
        <f>E38*D38</f>
        <v>0</v>
      </c>
    </row>
    <row r="39" spans="1:6">
      <c r="A39" s="259" t="s">
        <v>57</v>
      </c>
      <c r="B39" s="118" t="s">
        <v>58</v>
      </c>
      <c r="C39" s="116"/>
      <c r="D39" s="87"/>
      <c r="E39" s="117"/>
      <c r="F39" s="181"/>
    </row>
    <row r="40" spans="1:6">
      <c r="A40" s="260" t="s">
        <v>59</v>
      </c>
      <c r="B40" s="115" t="s">
        <v>60</v>
      </c>
      <c r="C40" s="116" t="s">
        <v>32</v>
      </c>
      <c r="D40" s="87">
        <f>9.55*3.35*0.12</f>
        <v>3.8391000000000002</v>
      </c>
      <c r="E40" s="117"/>
      <c r="F40" s="181">
        <f>E40*D40</f>
        <v>0</v>
      </c>
    </row>
    <row r="41" spans="1:6" ht="26">
      <c r="A41" s="260" t="s">
        <v>61</v>
      </c>
      <c r="B41" s="236" t="s">
        <v>62</v>
      </c>
      <c r="C41" s="139" t="s">
        <v>32</v>
      </c>
      <c r="D41" s="105">
        <f>((10.75*2)+(2.125*1.55))*0.4</f>
        <v>9.9175000000000004</v>
      </c>
      <c r="E41" s="140"/>
      <c r="F41" s="181">
        <f t="shared" ref="F41:F42" si="0">E41*D41</f>
        <v>0</v>
      </c>
    </row>
    <row r="42" spans="1:6" ht="26">
      <c r="A42" s="260" t="s">
        <v>63</v>
      </c>
      <c r="B42" s="236" t="s">
        <v>64</v>
      </c>
      <c r="C42" s="139" t="s">
        <v>14</v>
      </c>
      <c r="D42" s="105">
        <f>((10.75*2)+(2.125*1.55))</f>
        <v>24.793749999999999</v>
      </c>
      <c r="E42" s="140"/>
      <c r="F42" s="181">
        <f t="shared" si="0"/>
        <v>0</v>
      </c>
    </row>
    <row r="43" spans="1:6" ht="26.5" thickBot="1">
      <c r="A43" s="261" t="s">
        <v>65</v>
      </c>
      <c r="B43" s="207" t="s">
        <v>66</v>
      </c>
      <c r="C43" s="139" t="s">
        <v>32</v>
      </c>
      <c r="D43" s="105">
        <f>((10.75*2)+(2.125*1.55))*0.08</f>
        <v>1.9835</v>
      </c>
      <c r="E43" s="140"/>
      <c r="F43" s="191">
        <f>E43*D43</f>
        <v>0</v>
      </c>
    </row>
    <row r="44" spans="1:6" ht="15" thickBot="1">
      <c r="A44" s="262"/>
      <c r="B44" s="40" t="s">
        <v>67</v>
      </c>
      <c r="C44" s="70"/>
      <c r="D44" s="103"/>
      <c r="E44" s="126"/>
      <c r="F44" s="186">
        <f>SUM(F22:F43)</f>
        <v>0</v>
      </c>
    </row>
    <row r="45" spans="1:6" ht="15" thickBot="1">
      <c r="A45" s="263"/>
      <c r="B45" s="127"/>
      <c r="C45" s="128"/>
      <c r="D45" s="129"/>
      <c r="E45" s="130"/>
      <c r="F45" s="206"/>
    </row>
    <row r="46" spans="1:6" ht="15" thickBot="1">
      <c r="A46" s="252" t="s">
        <v>68</v>
      </c>
      <c r="B46" s="18" t="s">
        <v>69</v>
      </c>
      <c r="C46" s="19"/>
      <c r="D46" s="100"/>
      <c r="E46" s="55"/>
      <c r="F46" s="194"/>
    </row>
    <row r="47" spans="1:6">
      <c r="A47" s="258" t="s">
        <v>70</v>
      </c>
      <c r="B47" s="146" t="s">
        <v>71</v>
      </c>
      <c r="C47" s="2"/>
      <c r="D47" s="101"/>
      <c r="E47" s="48"/>
      <c r="F47" s="204"/>
    </row>
    <row r="48" spans="1:6">
      <c r="A48" s="258" t="s">
        <v>72</v>
      </c>
      <c r="B48" s="107" t="s">
        <v>73</v>
      </c>
      <c r="C48" s="2" t="s">
        <v>14</v>
      </c>
      <c r="D48" s="57">
        <f>((10.125*3)+(1.5*9)+(2.22*2))*3.1-((1*2.2*3)+(0.8*2.2*4)+(3.45*0.9))</f>
        <v>133.03149999999999</v>
      </c>
      <c r="E48" s="54"/>
      <c r="F48" s="190">
        <f>+E48*D48</f>
        <v>0</v>
      </c>
    </row>
    <row r="49" spans="1:6">
      <c r="A49" s="264" t="s">
        <v>74</v>
      </c>
      <c r="B49" s="145" t="s">
        <v>75</v>
      </c>
      <c r="C49" s="2"/>
      <c r="D49" s="57"/>
      <c r="E49" s="54"/>
      <c r="F49" s="190"/>
    </row>
    <row r="50" spans="1:6">
      <c r="A50" s="258" t="s">
        <v>76</v>
      </c>
      <c r="B50" s="107" t="s">
        <v>77</v>
      </c>
      <c r="C50" s="2" t="s">
        <v>27</v>
      </c>
      <c r="D50" s="57">
        <f>((2*0.2*0.4)+(2*0.2*0.6))*2</f>
        <v>0.8</v>
      </c>
      <c r="E50" s="54"/>
      <c r="F50" s="190">
        <f>+E50*D50</f>
        <v>0</v>
      </c>
    </row>
    <row r="51" spans="1:6">
      <c r="A51" s="258" t="s">
        <v>78</v>
      </c>
      <c r="B51" s="107" t="s">
        <v>79</v>
      </c>
      <c r="C51" s="2" t="s">
        <v>14</v>
      </c>
      <c r="D51" s="57">
        <v>0</v>
      </c>
      <c r="E51" s="54"/>
      <c r="F51" s="190">
        <f>+E51*D51</f>
        <v>0</v>
      </c>
    </row>
    <row r="52" spans="1:6">
      <c r="A52" s="265" t="s">
        <v>80</v>
      </c>
      <c r="B52" s="145" t="s">
        <v>44</v>
      </c>
      <c r="C52" s="2"/>
      <c r="D52" s="102"/>
      <c r="E52" s="54"/>
      <c r="F52" s="190"/>
    </row>
    <row r="53" spans="1:6">
      <c r="A53" s="265" t="s">
        <v>81</v>
      </c>
      <c r="B53" s="145" t="s">
        <v>82</v>
      </c>
      <c r="C53" s="2"/>
      <c r="D53" s="102"/>
      <c r="E53" s="54"/>
      <c r="F53" s="190"/>
    </row>
    <row r="54" spans="1:6" ht="26">
      <c r="A54" s="258" t="s">
        <v>83</v>
      </c>
      <c r="B54" s="107" t="s">
        <v>84</v>
      </c>
      <c r="C54" s="2" t="s">
        <v>32</v>
      </c>
      <c r="D54" s="102">
        <f>0.15*0.2*3.1*14</f>
        <v>1.302</v>
      </c>
      <c r="E54" s="117"/>
      <c r="F54" s="190">
        <f>+E54*D54</f>
        <v>0</v>
      </c>
    </row>
    <row r="55" spans="1:6">
      <c r="A55" s="265" t="s">
        <v>85</v>
      </c>
      <c r="B55" s="119" t="s">
        <v>86</v>
      </c>
      <c r="C55" s="2"/>
      <c r="D55" s="102"/>
      <c r="E55" s="54"/>
      <c r="F55" s="190"/>
    </row>
    <row r="56" spans="1:6">
      <c r="A56" s="258" t="s">
        <v>87</v>
      </c>
      <c r="B56" s="107" t="s">
        <v>88</v>
      </c>
      <c r="C56" s="2" t="s">
        <v>32</v>
      </c>
      <c r="D56" s="57">
        <f>((10.125*3)+(1.5*9)+(2.22*2))*0.2*0.15</f>
        <v>1.4494499999999999</v>
      </c>
      <c r="E56" s="117"/>
      <c r="F56" s="190">
        <f>+E56*D56</f>
        <v>0</v>
      </c>
    </row>
    <row r="57" spans="1:6" ht="15" thickBot="1">
      <c r="A57" s="266" t="s">
        <v>89</v>
      </c>
      <c r="B57" s="132" t="s">
        <v>90</v>
      </c>
      <c r="C57" s="61" t="s">
        <v>32</v>
      </c>
      <c r="D57" s="57">
        <f>((10.125*3)+(1.5*9)+(2.22*2))*0.2*0.15</f>
        <v>1.4494499999999999</v>
      </c>
      <c r="E57" s="117"/>
      <c r="F57" s="192">
        <f>+E57*D57</f>
        <v>0</v>
      </c>
    </row>
    <row r="58" spans="1:6" ht="15" thickBot="1">
      <c r="A58" s="267"/>
      <c r="B58" s="158" t="s">
        <v>91</v>
      </c>
      <c r="C58" s="136"/>
      <c r="D58" s="137"/>
      <c r="E58" s="138"/>
      <c r="F58" s="196">
        <f>SUM(F47:F57)</f>
        <v>0</v>
      </c>
    </row>
    <row r="59" spans="1:6" ht="15" thickBot="1">
      <c r="A59" s="268"/>
      <c r="B59" s="159"/>
      <c r="C59" s="131"/>
      <c r="D59" s="102"/>
      <c r="E59" s="52"/>
      <c r="F59" s="205"/>
    </row>
    <row r="60" spans="1:6" ht="15" thickBot="1">
      <c r="A60" s="269" t="s">
        <v>92</v>
      </c>
      <c r="B60" s="15" t="s">
        <v>93</v>
      </c>
      <c r="C60" s="16"/>
      <c r="D60" s="85"/>
      <c r="E60" s="50"/>
      <c r="F60" s="183"/>
    </row>
    <row r="61" spans="1:6">
      <c r="A61" s="270" t="s">
        <v>94</v>
      </c>
      <c r="B61" s="14" t="s">
        <v>95</v>
      </c>
      <c r="C61" s="6"/>
      <c r="D61" s="86"/>
      <c r="E61" s="51"/>
      <c r="F61" s="184"/>
    </row>
    <row r="62" spans="1:6">
      <c r="A62" s="271" t="s">
        <v>96</v>
      </c>
      <c r="B62" s="12" t="s">
        <v>97</v>
      </c>
      <c r="C62" s="2" t="s">
        <v>32</v>
      </c>
      <c r="D62" s="87">
        <f>((6.24*0.15*0.07)+(5.15*0.15*0.07)+(0.95*0.15*0.07)+(2*0.15*0.07)+(0.7*0.15*0.07))*6 + (0.07*0.15*10.95)</f>
        <v>1.062495</v>
      </c>
      <c r="E62" s="49"/>
      <c r="F62" s="182">
        <f>E62*D62</f>
        <v>0</v>
      </c>
    </row>
    <row r="63" spans="1:6">
      <c r="A63" s="271" t="s">
        <v>98</v>
      </c>
      <c r="B63" s="12" t="s">
        <v>99</v>
      </c>
      <c r="C63" s="2" t="s">
        <v>32</v>
      </c>
      <c r="D63" s="87">
        <f>(0.07*0.07*12.45)*8</f>
        <v>0.48804000000000003</v>
      </c>
      <c r="E63" s="49"/>
      <c r="F63" s="182">
        <f>E63*D63</f>
        <v>0</v>
      </c>
    </row>
    <row r="64" spans="1:6" ht="26">
      <c r="A64" s="271" t="s">
        <v>100</v>
      </c>
      <c r="B64" s="12" t="s">
        <v>101</v>
      </c>
      <c r="C64" s="2" t="s">
        <v>14</v>
      </c>
      <c r="D64" s="87">
        <f>(6.24*12.45)</f>
        <v>77.688000000000002</v>
      </c>
      <c r="E64" s="49"/>
      <c r="F64" s="182">
        <f>E64*D64</f>
        <v>0</v>
      </c>
    </row>
    <row r="65" spans="1:6" ht="15" thickBot="1">
      <c r="A65" s="272" t="s">
        <v>102</v>
      </c>
      <c r="B65" s="64" t="s">
        <v>103</v>
      </c>
      <c r="C65" s="61" t="s">
        <v>104</v>
      </c>
      <c r="D65" s="105">
        <f>(12.45*2)+(6.24*2)</f>
        <v>37.379999999999995</v>
      </c>
      <c r="E65" s="58"/>
      <c r="F65" s="188">
        <f>E65*D65</f>
        <v>0</v>
      </c>
    </row>
    <row r="66" spans="1:6" ht="15" thickBot="1">
      <c r="A66" s="262"/>
      <c r="B66" s="135" t="s">
        <v>105</v>
      </c>
      <c r="C66" s="70"/>
      <c r="D66" s="103"/>
      <c r="E66" s="126"/>
      <c r="F66" s="186">
        <f>SUM(F61:F65)</f>
        <v>0</v>
      </c>
    </row>
    <row r="67" spans="1:6" ht="15" thickBot="1">
      <c r="A67" s="263"/>
      <c r="B67" s="127"/>
      <c r="C67" s="128"/>
      <c r="D67" s="129"/>
      <c r="E67" s="130"/>
      <c r="F67" s="206"/>
    </row>
    <row r="68" spans="1:6" ht="15" thickBot="1">
      <c r="A68" s="273">
        <v>3</v>
      </c>
      <c r="B68" s="30" t="s">
        <v>106</v>
      </c>
      <c r="C68" s="26"/>
      <c r="D68" s="81"/>
      <c r="E68" s="45"/>
      <c r="F68" s="185"/>
    </row>
    <row r="69" spans="1:6" ht="15" thickBot="1">
      <c r="A69" s="274" t="s">
        <v>107</v>
      </c>
      <c r="B69" s="36" t="s">
        <v>108</v>
      </c>
      <c r="C69" s="37"/>
      <c r="D69" s="100"/>
      <c r="E69" s="55"/>
      <c r="F69" s="194"/>
    </row>
    <row r="70" spans="1:6">
      <c r="A70" s="275" t="s">
        <v>109</v>
      </c>
      <c r="B70" s="35" t="s">
        <v>110</v>
      </c>
      <c r="C70" s="32"/>
      <c r="D70" s="101"/>
      <c r="E70" s="48"/>
      <c r="F70" s="204"/>
    </row>
    <row r="71" spans="1:6">
      <c r="A71" s="276" t="s">
        <v>111</v>
      </c>
      <c r="B71" s="230" t="s">
        <v>112</v>
      </c>
      <c r="C71" s="32"/>
      <c r="D71" s="101"/>
      <c r="E71" s="48"/>
      <c r="F71" s="204"/>
    </row>
    <row r="72" spans="1:6">
      <c r="A72" s="277" t="s">
        <v>113</v>
      </c>
      <c r="B72" s="232" t="s">
        <v>114</v>
      </c>
      <c r="C72" s="32" t="s">
        <v>115</v>
      </c>
      <c r="D72" s="101">
        <v>2</v>
      </c>
      <c r="E72" s="48"/>
      <c r="F72" s="182">
        <f>E72*D72</f>
        <v>0</v>
      </c>
    </row>
    <row r="73" spans="1:6">
      <c r="A73" s="278" t="s">
        <v>116</v>
      </c>
      <c r="B73" s="230" t="s">
        <v>117</v>
      </c>
      <c r="C73" s="32"/>
      <c r="D73" s="229"/>
      <c r="E73" s="48"/>
      <c r="F73" s="204"/>
    </row>
    <row r="74" spans="1:6">
      <c r="A74" s="279" t="s">
        <v>118</v>
      </c>
      <c r="B74" s="64" t="s">
        <v>119</v>
      </c>
      <c r="C74" s="61" t="s">
        <v>115</v>
      </c>
      <c r="D74" s="105">
        <v>1</v>
      </c>
      <c r="E74" s="58"/>
      <c r="F74" s="188">
        <f>E74*D74</f>
        <v>0</v>
      </c>
    </row>
    <row r="75" spans="1:6">
      <c r="A75" s="280" t="s">
        <v>120</v>
      </c>
      <c r="B75" s="12" t="s">
        <v>121</v>
      </c>
      <c r="C75" s="2" t="s">
        <v>115</v>
      </c>
      <c r="D75" s="87">
        <v>6</v>
      </c>
      <c r="E75" s="52"/>
      <c r="F75" s="182">
        <f>E75*D75</f>
        <v>0</v>
      </c>
    </row>
    <row r="76" spans="1:6">
      <c r="A76" s="281" t="s">
        <v>122</v>
      </c>
      <c r="B76" s="235" t="s">
        <v>123</v>
      </c>
      <c r="C76" s="32"/>
      <c r="D76" s="90"/>
      <c r="E76" s="38"/>
      <c r="F76" s="187"/>
    </row>
    <row r="77" spans="1:6" ht="15" thickBot="1">
      <c r="A77" s="280" t="s">
        <v>124</v>
      </c>
      <c r="B77" s="12" t="s">
        <v>125</v>
      </c>
      <c r="C77" s="201" t="s">
        <v>115</v>
      </c>
      <c r="D77" s="202">
        <v>1</v>
      </c>
      <c r="E77" s="3"/>
      <c r="F77" s="182">
        <f>E77*D77</f>
        <v>0</v>
      </c>
    </row>
    <row r="78" spans="1:6" ht="15" thickBot="1">
      <c r="A78" s="262"/>
      <c r="B78" s="135" t="s">
        <v>126</v>
      </c>
      <c r="C78" s="70"/>
      <c r="D78" s="103"/>
      <c r="E78" s="126"/>
      <c r="F78" s="186">
        <f>SUM(F70:F77)</f>
        <v>0</v>
      </c>
    </row>
    <row r="79" spans="1:6" ht="15" thickBot="1">
      <c r="A79" s="263"/>
      <c r="B79" s="127"/>
      <c r="C79" s="131"/>
      <c r="D79" s="102"/>
      <c r="E79" s="52"/>
      <c r="F79" s="205"/>
    </row>
    <row r="80" spans="1:6" ht="15" thickBot="1">
      <c r="A80" s="269" t="s">
        <v>127</v>
      </c>
      <c r="B80" s="15" t="s">
        <v>128</v>
      </c>
      <c r="C80" s="31"/>
      <c r="D80" s="100"/>
      <c r="E80" s="55"/>
      <c r="F80" s="194"/>
    </row>
    <row r="81" spans="1:9" ht="26">
      <c r="A81" s="280" t="s">
        <v>129</v>
      </c>
      <c r="B81" s="12" t="s">
        <v>130</v>
      </c>
      <c r="C81" s="2" t="s">
        <v>14</v>
      </c>
      <c r="D81" s="57">
        <f>(((10.125*3)+(1.5*9)+(2.22*2))*3.1-((1*2.2*3)+(0.8*2.2*4)+(3.45*0.9))+(1.5*7*3))-77.4</f>
        <v>87.131499999999988</v>
      </c>
      <c r="E81" s="48"/>
      <c r="F81" s="190">
        <f t="shared" ref="F81:F86" si="1">+E81*D81</f>
        <v>0</v>
      </c>
      <c r="G81" s="237"/>
      <c r="I81" s="237"/>
    </row>
    <row r="82" spans="1:9" ht="26">
      <c r="A82" s="280" t="s">
        <v>131</v>
      </c>
      <c r="B82" s="12" t="s">
        <v>132</v>
      </c>
      <c r="C82" s="2" t="s">
        <v>14</v>
      </c>
      <c r="D82" s="57">
        <f>((9.55*2)+(3.35*2))*3</f>
        <v>77.400000000000006</v>
      </c>
      <c r="E82" s="48"/>
      <c r="F82" s="190">
        <f t="shared" si="1"/>
        <v>0</v>
      </c>
    </row>
    <row r="83" spans="1:9" ht="26">
      <c r="A83" s="280" t="s">
        <v>133</v>
      </c>
      <c r="B83" s="12" t="s">
        <v>134</v>
      </c>
      <c r="C83" s="2" t="s">
        <v>14</v>
      </c>
      <c r="D83" s="101">
        <f>((14*3*0.2)+(10.22*2)+(4.15*2))*0.2</f>
        <v>7.4280000000000008</v>
      </c>
      <c r="E83" s="48"/>
      <c r="F83" s="203">
        <f t="shared" si="1"/>
        <v>0</v>
      </c>
    </row>
    <row r="84" spans="1:9">
      <c r="A84" s="280" t="s">
        <v>135</v>
      </c>
      <c r="B84" s="12" t="s">
        <v>136</v>
      </c>
      <c r="C84" s="2" t="s">
        <v>14</v>
      </c>
      <c r="D84" s="101">
        <f>(10.22*2)+(4.15*2)*1</f>
        <v>28.740000000000002</v>
      </c>
      <c r="E84" s="48"/>
      <c r="F84" s="190">
        <f t="shared" si="1"/>
        <v>0</v>
      </c>
    </row>
    <row r="85" spans="1:9" ht="26">
      <c r="A85" s="280" t="s">
        <v>137</v>
      </c>
      <c r="B85" s="12" t="s">
        <v>138</v>
      </c>
      <c r="C85" s="2" t="s">
        <v>14</v>
      </c>
      <c r="D85" s="57">
        <v>78.599999999999994</v>
      </c>
      <c r="E85" s="49"/>
      <c r="F85" s="190">
        <f t="shared" si="1"/>
        <v>0</v>
      </c>
    </row>
    <row r="86" spans="1:9" ht="26.5" thickBot="1">
      <c r="A86" s="280" t="s">
        <v>139</v>
      </c>
      <c r="B86" s="12" t="s">
        <v>140</v>
      </c>
      <c r="C86" s="2" t="s">
        <v>14</v>
      </c>
      <c r="D86" s="57">
        <f>10.95*4.15</f>
        <v>45.442500000000003</v>
      </c>
      <c r="E86" s="49"/>
      <c r="F86" s="190">
        <f t="shared" si="1"/>
        <v>0</v>
      </c>
    </row>
    <row r="87" spans="1:9" ht="15" thickBot="1">
      <c r="A87" s="262"/>
      <c r="B87" s="135" t="s">
        <v>141</v>
      </c>
      <c r="C87" s="70" t="s">
        <v>142</v>
      </c>
      <c r="D87" s="103"/>
      <c r="E87" s="126"/>
      <c r="F87" s="186">
        <f>SUM(F81:F86)</f>
        <v>0</v>
      </c>
    </row>
    <row r="88" spans="1:9" ht="15" thickBot="1">
      <c r="A88" s="263"/>
      <c r="B88" s="127"/>
      <c r="C88" s="131"/>
      <c r="D88" s="102"/>
      <c r="E88" s="52"/>
      <c r="F88" s="205"/>
    </row>
    <row r="89" spans="1:9" ht="15" thickBot="1">
      <c r="A89" s="269" t="s">
        <v>143</v>
      </c>
      <c r="B89" s="125" t="s">
        <v>144</v>
      </c>
      <c r="C89" s="16"/>
      <c r="D89" s="85"/>
      <c r="E89" s="56"/>
      <c r="F89" s="193"/>
    </row>
    <row r="90" spans="1:9">
      <c r="A90" s="239" t="s">
        <v>145</v>
      </c>
      <c r="B90" s="34" t="s">
        <v>146</v>
      </c>
      <c r="C90" s="144" t="s">
        <v>104</v>
      </c>
      <c r="D90" s="90">
        <v>12.45</v>
      </c>
      <c r="E90" s="52"/>
      <c r="F90" s="190">
        <f>+E90*D90</f>
        <v>0</v>
      </c>
    </row>
    <row r="91" spans="1:9">
      <c r="A91" s="239" t="s">
        <v>147</v>
      </c>
      <c r="B91" s="33" t="s">
        <v>148</v>
      </c>
      <c r="C91" s="106" t="s">
        <v>104</v>
      </c>
      <c r="D91" s="87">
        <v>6</v>
      </c>
      <c r="E91" s="52"/>
      <c r="F91" s="190">
        <f>+E91*D91</f>
        <v>0</v>
      </c>
    </row>
    <row r="92" spans="1:9">
      <c r="A92" s="239" t="s">
        <v>149</v>
      </c>
      <c r="B92" s="34" t="s">
        <v>150</v>
      </c>
      <c r="C92" s="144" t="s">
        <v>151</v>
      </c>
      <c r="D92" s="90">
        <v>1</v>
      </c>
      <c r="E92" s="38"/>
      <c r="F92" s="195">
        <f t="shared" ref="F92" si="2">+E92*D92</f>
        <v>0</v>
      </c>
    </row>
    <row r="93" spans="1:9">
      <c r="A93" s="239" t="s">
        <v>152</v>
      </c>
      <c r="B93" s="34" t="s">
        <v>153</v>
      </c>
      <c r="C93" s="144" t="s">
        <v>115</v>
      </c>
      <c r="D93" s="90">
        <v>5</v>
      </c>
      <c r="E93" s="52"/>
      <c r="F93" s="190">
        <f>+E93*D93</f>
        <v>0</v>
      </c>
    </row>
    <row r="94" spans="1:9">
      <c r="A94" s="239" t="s">
        <v>154</v>
      </c>
      <c r="B94" s="176" t="s">
        <v>155</v>
      </c>
      <c r="C94" s="106"/>
      <c r="D94" s="87"/>
      <c r="E94" s="52"/>
      <c r="F94" s="190"/>
    </row>
    <row r="95" spans="1:9">
      <c r="A95" s="282" t="s">
        <v>156</v>
      </c>
      <c r="B95" s="233" t="s">
        <v>157</v>
      </c>
      <c r="C95" s="161" t="s">
        <v>9</v>
      </c>
      <c r="D95" s="91">
        <v>1</v>
      </c>
      <c r="E95" s="52"/>
      <c r="F95" s="190">
        <f t="shared" ref="F95:F97" si="3">+E95*D95</f>
        <v>0</v>
      </c>
    </row>
    <row r="96" spans="1:9" ht="26">
      <c r="A96" s="240" t="s">
        <v>158</v>
      </c>
      <c r="B96" s="234" t="s">
        <v>159</v>
      </c>
      <c r="C96" s="161" t="s">
        <v>115</v>
      </c>
      <c r="D96" s="91">
        <v>1</v>
      </c>
      <c r="E96" s="49"/>
      <c r="F96" s="190">
        <f t="shared" si="3"/>
        <v>0</v>
      </c>
    </row>
    <row r="97" spans="1:6">
      <c r="A97" s="241" t="s">
        <v>160</v>
      </c>
      <c r="B97" s="234" t="s">
        <v>161</v>
      </c>
      <c r="C97" s="143" t="s">
        <v>115</v>
      </c>
      <c r="D97" s="160">
        <v>1</v>
      </c>
      <c r="E97" s="73"/>
      <c r="F97" s="190">
        <f t="shared" si="3"/>
        <v>0</v>
      </c>
    </row>
    <row r="98" spans="1:6">
      <c r="A98" s="241" t="s">
        <v>162</v>
      </c>
      <c r="B98" s="33" t="s">
        <v>163</v>
      </c>
      <c r="C98" s="143" t="s">
        <v>115</v>
      </c>
      <c r="D98" s="160">
        <v>6</v>
      </c>
      <c r="E98" s="73"/>
      <c r="F98" s="190">
        <f>+E98*D98</f>
        <v>0</v>
      </c>
    </row>
    <row r="99" spans="1:6">
      <c r="A99" s="241" t="s">
        <v>164</v>
      </c>
      <c r="B99" s="33" t="s">
        <v>165</v>
      </c>
      <c r="C99" s="161" t="s">
        <v>115</v>
      </c>
      <c r="D99" s="91">
        <v>1</v>
      </c>
      <c r="E99" s="49"/>
      <c r="F99" s="192">
        <f>+E99*D99</f>
        <v>0</v>
      </c>
    </row>
    <row r="100" spans="1:6">
      <c r="A100" s="241" t="s">
        <v>166</v>
      </c>
      <c r="B100" s="133" t="s">
        <v>167</v>
      </c>
      <c r="C100" s="161" t="s">
        <v>115</v>
      </c>
      <c r="D100" s="92">
        <v>5</v>
      </c>
      <c r="E100" s="58"/>
      <c r="F100" s="192">
        <f t="shared" ref="F100:F102" si="4">+E100*D100</f>
        <v>0</v>
      </c>
    </row>
    <row r="101" spans="1:6" ht="26">
      <c r="A101" s="241" t="s">
        <v>168</v>
      </c>
      <c r="B101" s="133" t="s">
        <v>169</v>
      </c>
      <c r="C101" s="162" t="s">
        <v>151</v>
      </c>
      <c r="D101" s="92">
        <v>1</v>
      </c>
      <c r="E101" s="58"/>
      <c r="F101" s="192">
        <f t="shared" si="4"/>
        <v>0</v>
      </c>
    </row>
    <row r="102" spans="1:6" ht="26">
      <c r="A102" s="241" t="s">
        <v>170</v>
      </c>
      <c r="B102" s="133" t="s">
        <v>171</v>
      </c>
      <c r="C102" s="162" t="s">
        <v>151</v>
      </c>
      <c r="D102" s="92">
        <v>1</v>
      </c>
      <c r="E102" s="58"/>
      <c r="F102" s="192">
        <f t="shared" si="4"/>
        <v>0</v>
      </c>
    </row>
    <row r="103" spans="1:6" ht="26">
      <c r="A103" s="241" t="s">
        <v>172</v>
      </c>
      <c r="B103" s="33" t="s">
        <v>173</v>
      </c>
      <c r="C103" s="161" t="s">
        <v>104</v>
      </c>
      <c r="D103" s="91">
        <v>30</v>
      </c>
      <c r="E103" s="49"/>
      <c r="F103" s="190">
        <f>+E103*D103</f>
        <v>0</v>
      </c>
    </row>
    <row r="104" spans="1:6" ht="15" thickBot="1">
      <c r="A104" s="239"/>
      <c r="B104" s="34"/>
      <c r="C104" s="144"/>
      <c r="D104" s="90"/>
      <c r="E104" s="38"/>
      <c r="F104" s="195"/>
    </row>
    <row r="105" spans="1:6" ht="15" thickBot="1">
      <c r="A105" s="262"/>
      <c r="B105" s="134" t="s">
        <v>174</v>
      </c>
      <c r="C105" s="70"/>
      <c r="D105" s="103"/>
      <c r="E105" s="71"/>
      <c r="F105" s="196">
        <f>SUM(F90:F104)</f>
        <v>0</v>
      </c>
    </row>
    <row r="106" spans="1:6" ht="15" thickBot="1">
      <c r="A106" s="283"/>
      <c r="B106" s="123"/>
      <c r="C106" s="74"/>
      <c r="D106" s="89"/>
      <c r="E106" s="63"/>
      <c r="F106" s="189"/>
    </row>
    <row r="107" spans="1:6" ht="15" thickBot="1">
      <c r="A107" s="269" t="s">
        <v>175</v>
      </c>
      <c r="B107" s="15" t="s">
        <v>176</v>
      </c>
      <c r="C107" s="16"/>
      <c r="D107" s="85"/>
      <c r="E107" s="50"/>
      <c r="F107" s="183"/>
    </row>
    <row r="108" spans="1:6" ht="26">
      <c r="A108" s="284" t="s">
        <v>177</v>
      </c>
      <c r="B108" s="17" t="s">
        <v>178</v>
      </c>
      <c r="C108" s="32" t="s">
        <v>14</v>
      </c>
      <c r="D108" s="90">
        <v>36.159999999999997</v>
      </c>
      <c r="E108" s="48"/>
      <c r="F108" s="187">
        <f>E108*D108</f>
        <v>0</v>
      </c>
    </row>
    <row r="109" spans="1:6">
      <c r="A109" s="280" t="s">
        <v>179</v>
      </c>
      <c r="B109" s="12" t="s">
        <v>180</v>
      </c>
      <c r="C109" s="61" t="s">
        <v>14</v>
      </c>
      <c r="D109" s="101">
        <f>(10.22*2)+(4.15*2)*2.1</f>
        <v>37.870000000000005</v>
      </c>
      <c r="E109" s="58"/>
      <c r="F109" s="182">
        <f>E109*D109</f>
        <v>0</v>
      </c>
    </row>
    <row r="110" spans="1:6">
      <c r="A110" s="285"/>
      <c r="B110" s="62" t="s">
        <v>181</v>
      </c>
      <c r="C110" s="65"/>
      <c r="D110" s="88"/>
      <c r="E110" s="66"/>
      <c r="F110" s="197">
        <f>SUM(F108:F109)</f>
        <v>0</v>
      </c>
    </row>
    <row r="111" spans="1:6" ht="15" thickBot="1">
      <c r="A111" s="286"/>
      <c r="B111" s="72"/>
      <c r="C111" s="20"/>
      <c r="D111" s="104"/>
      <c r="E111" s="44"/>
      <c r="F111" s="198"/>
    </row>
    <row r="112" spans="1:6" ht="15" thickBot="1">
      <c r="A112" s="287"/>
      <c r="B112" s="122" t="s">
        <v>182</v>
      </c>
      <c r="C112" s="11"/>
      <c r="D112" s="80"/>
      <c r="E112" s="60"/>
      <c r="F112" s="228">
        <f>SUM(F24:F110)/2</f>
        <v>0</v>
      </c>
    </row>
    <row r="113" spans="1:6" ht="15" thickBot="1">
      <c r="A113" s="288"/>
      <c r="B113" s="141"/>
      <c r="C113" s="209"/>
      <c r="D113" s="84"/>
      <c r="E113" s="210"/>
      <c r="F113" s="200"/>
    </row>
    <row r="114" spans="1:6" ht="15" thickBot="1">
      <c r="A114" s="496" t="s">
        <v>183</v>
      </c>
      <c r="B114" s="497"/>
      <c r="C114" s="497"/>
      <c r="D114" s="497"/>
      <c r="E114" s="497"/>
      <c r="F114" s="498"/>
    </row>
    <row r="115" spans="1:6" ht="15" thickBot="1">
      <c r="A115" s="251">
        <v>2</v>
      </c>
      <c r="B115" s="121" t="s">
        <v>18</v>
      </c>
      <c r="C115" s="25"/>
      <c r="D115" s="84"/>
      <c r="E115" s="13"/>
      <c r="F115" s="179"/>
    </row>
    <row r="116" spans="1:6" ht="15" thickBot="1">
      <c r="A116" s="252" t="s">
        <v>19</v>
      </c>
      <c r="B116" s="29" t="s">
        <v>20</v>
      </c>
      <c r="C116" s="19"/>
      <c r="D116" s="82"/>
      <c r="E116" s="46"/>
      <c r="F116" s="174"/>
    </row>
    <row r="117" spans="1:6">
      <c r="A117" s="253" t="s">
        <v>21</v>
      </c>
      <c r="B117" s="211" t="s">
        <v>22</v>
      </c>
      <c r="C117" s="28"/>
      <c r="D117" s="83"/>
      <c r="E117" s="47"/>
      <c r="F117" s="180"/>
    </row>
    <row r="118" spans="1:6">
      <c r="A118" s="253" t="s">
        <v>23</v>
      </c>
      <c r="B118" s="27" t="s">
        <v>24</v>
      </c>
      <c r="C118" s="28"/>
      <c r="D118" s="83"/>
      <c r="E118" s="47"/>
      <c r="F118" s="180"/>
    </row>
    <row r="119" spans="1:6">
      <c r="A119" s="254" t="s">
        <v>25</v>
      </c>
      <c r="B119" s="147" t="s">
        <v>26</v>
      </c>
      <c r="C119" s="32" t="s">
        <v>27</v>
      </c>
      <c r="D119" s="116">
        <f>(1.55+5.35+10.46)*0.35*1</f>
        <v>6.0759999999999996</v>
      </c>
      <c r="E119" s="47"/>
      <c r="F119" s="181">
        <f>E119*D119</f>
        <v>0</v>
      </c>
    </row>
    <row r="120" spans="1:6">
      <c r="A120" s="253" t="s">
        <v>28</v>
      </c>
      <c r="B120" s="27" t="s">
        <v>29</v>
      </c>
      <c r="C120" s="28"/>
      <c r="D120" s="83"/>
      <c r="E120" s="47"/>
      <c r="F120" s="180"/>
    </row>
    <row r="121" spans="1:6">
      <c r="A121" s="255" t="s">
        <v>30</v>
      </c>
      <c r="B121" s="115" t="s">
        <v>31</v>
      </c>
      <c r="C121" s="116" t="s">
        <v>32</v>
      </c>
      <c r="D121" s="87">
        <f>9.55*3.35*3</f>
        <v>95.977500000000006</v>
      </c>
      <c r="E121" s="117"/>
      <c r="F121" s="181">
        <f>E121*D121</f>
        <v>0</v>
      </c>
    </row>
    <row r="122" spans="1:6">
      <c r="A122" s="256" t="s">
        <v>33</v>
      </c>
      <c r="B122" s="118" t="s">
        <v>34</v>
      </c>
      <c r="C122" s="116"/>
      <c r="D122" s="87"/>
      <c r="E122" s="117"/>
      <c r="F122" s="181"/>
    </row>
    <row r="123" spans="1:6">
      <c r="A123" s="255" t="s">
        <v>35</v>
      </c>
      <c r="B123" s="115" t="s">
        <v>36</v>
      </c>
      <c r="C123" s="116" t="s">
        <v>32</v>
      </c>
      <c r="D123" s="116">
        <f>(1.55+5.35+10.46)*0.35*0.05</f>
        <v>0.30380000000000001</v>
      </c>
      <c r="E123" s="117"/>
      <c r="F123" s="181">
        <f>E123*D123</f>
        <v>0</v>
      </c>
    </row>
    <row r="124" spans="1:6">
      <c r="A124" s="255" t="s">
        <v>37</v>
      </c>
      <c r="B124" s="118" t="s">
        <v>38</v>
      </c>
      <c r="C124" s="116"/>
      <c r="D124" s="87"/>
      <c r="E124" s="117"/>
      <c r="F124" s="181"/>
    </row>
    <row r="125" spans="1:6">
      <c r="A125" s="255" t="s">
        <v>39</v>
      </c>
      <c r="B125" s="145" t="s">
        <v>40</v>
      </c>
      <c r="C125" s="116" t="s">
        <v>32</v>
      </c>
      <c r="D125" s="116">
        <f>(1.55+5.35+10.46)*0.35*0.95</f>
        <v>5.7721999999999998</v>
      </c>
      <c r="E125" s="117"/>
      <c r="F125" s="181">
        <f>E125*D125</f>
        <v>0</v>
      </c>
    </row>
    <row r="126" spans="1:6" ht="26">
      <c r="A126" s="255" t="s">
        <v>41</v>
      </c>
      <c r="B126" s="115" t="s">
        <v>42</v>
      </c>
      <c r="C126" s="116" t="s">
        <v>32</v>
      </c>
      <c r="D126" s="87">
        <f>((9.55*2)+(3.35*3))*0.35*3</f>
        <v>30.607500000000002</v>
      </c>
      <c r="E126" s="117"/>
      <c r="F126" s="181">
        <f>E126*D126</f>
        <v>0</v>
      </c>
    </row>
    <row r="127" spans="1:6">
      <c r="A127" s="257" t="s">
        <v>43</v>
      </c>
      <c r="B127" s="119" t="s">
        <v>44</v>
      </c>
      <c r="C127" s="116"/>
      <c r="D127" s="87"/>
      <c r="E127" s="117"/>
      <c r="F127" s="181"/>
    </row>
    <row r="128" spans="1:6">
      <c r="A128" s="255" t="s">
        <v>45</v>
      </c>
      <c r="B128" s="115" t="s">
        <v>46</v>
      </c>
      <c r="C128" s="116" t="s">
        <v>32</v>
      </c>
      <c r="D128" s="87">
        <f>0.35*0.35*0.95*6</f>
        <v>0.69824999999999982</v>
      </c>
      <c r="E128" s="117"/>
      <c r="F128" s="181">
        <f>E128*D128</f>
        <v>0</v>
      </c>
    </row>
    <row r="129" spans="1:6" ht="29">
      <c r="A129" s="240" t="s">
        <v>47</v>
      </c>
      <c r="B129" s="231" t="s">
        <v>48</v>
      </c>
      <c r="C129" s="116" t="s">
        <v>32</v>
      </c>
      <c r="D129" s="116">
        <f>(1.55+5.35+10.46)*0.35*0.05</f>
        <v>0.30380000000000001</v>
      </c>
      <c r="E129" s="117"/>
      <c r="F129" s="181">
        <f>E129*D129</f>
        <v>0</v>
      </c>
    </row>
    <row r="130" spans="1:6">
      <c r="A130" s="258" t="s">
        <v>49</v>
      </c>
      <c r="B130" s="107" t="s">
        <v>50</v>
      </c>
      <c r="C130" s="116" t="s">
        <v>32</v>
      </c>
      <c r="D130" s="90">
        <f>(10*0.35*0.35*3)</f>
        <v>3.6749999999999998</v>
      </c>
      <c r="E130" s="117"/>
      <c r="F130" s="181">
        <f>E130*D130</f>
        <v>0</v>
      </c>
    </row>
    <row r="131" spans="1:6" ht="21.65" customHeight="1">
      <c r="A131" s="259" t="s">
        <v>51</v>
      </c>
      <c r="B131" s="145" t="s">
        <v>52</v>
      </c>
      <c r="C131" s="116"/>
      <c r="D131" s="87"/>
      <c r="E131" s="117"/>
      <c r="F131" s="181"/>
    </row>
    <row r="132" spans="1:6">
      <c r="A132" s="258" t="s">
        <v>53</v>
      </c>
      <c r="B132" s="115" t="s">
        <v>54</v>
      </c>
      <c r="C132" s="116" t="s">
        <v>32</v>
      </c>
      <c r="D132" s="87">
        <f>((9.55*2)+(3.35*5))*0.35*0.3</f>
        <v>3.7642499999999997</v>
      </c>
      <c r="E132" s="117"/>
      <c r="F132" s="181">
        <f>E132*D132</f>
        <v>0</v>
      </c>
    </row>
    <row r="133" spans="1:6">
      <c r="A133" s="258" t="s">
        <v>55</v>
      </c>
      <c r="B133" s="115" t="s">
        <v>56</v>
      </c>
      <c r="C133" s="116" t="s">
        <v>32</v>
      </c>
      <c r="D133" s="87">
        <f>((9.55*2)+(3.35*5))*0.35*0.3</f>
        <v>3.7642499999999997</v>
      </c>
      <c r="E133" s="117"/>
      <c r="F133" s="181">
        <f>E133*D133</f>
        <v>0</v>
      </c>
    </row>
    <row r="134" spans="1:6">
      <c r="A134" s="259" t="s">
        <v>57</v>
      </c>
      <c r="B134" s="118" t="s">
        <v>58</v>
      </c>
      <c r="C134" s="116"/>
      <c r="D134" s="87"/>
      <c r="E134" s="117"/>
      <c r="F134" s="181"/>
    </row>
    <row r="135" spans="1:6">
      <c r="A135" s="260" t="s">
        <v>59</v>
      </c>
      <c r="B135" s="115" t="s">
        <v>60</v>
      </c>
      <c r="C135" s="116" t="s">
        <v>32</v>
      </c>
      <c r="D135" s="87">
        <f>9.55*3.35*0.12</f>
        <v>3.8391000000000002</v>
      </c>
      <c r="E135" s="117"/>
      <c r="F135" s="181">
        <f>E135*D135</f>
        <v>0</v>
      </c>
    </row>
    <row r="136" spans="1:6" ht="26">
      <c r="A136" s="261" t="s">
        <v>61</v>
      </c>
      <c r="B136" s="115" t="s">
        <v>184</v>
      </c>
      <c r="C136" s="139"/>
      <c r="D136" s="105"/>
      <c r="E136" s="140"/>
      <c r="F136" s="191"/>
    </row>
    <row r="137" spans="1:6">
      <c r="A137" s="261" t="s">
        <v>63</v>
      </c>
      <c r="B137" s="236" t="s">
        <v>185</v>
      </c>
      <c r="C137" s="139"/>
      <c r="D137" s="105"/>
      <c r="E137" s="140"/>
      <c r="F137" s="191"/>
    </row>
    <row r="138" spans="1:6" ht="26.5" thickBot="1">
      <c r="A138" s="261" t="s">
        <v>65</v>
      </c>
      <c r="B138" s="207" t="s">
        <v>66</v>
      </c>
      <c r="C138" s="139" t="s">
        <v>32</v>
      </c>
      <c r="D138" s="105">
        <f>((10.75*2)+(2.125*1.55))*0.08</f>
        <v>1.9835</v>
      </c>
      <c r="E138" s="140"/>
      <c r="F138" s="191">
        <f>E138*D138</f>
        <v>0</v>
      </c>
    </row>
    <row r="139" spans="1:6" ht="15" thickBot="1">
      <c r="A139" s="262"/>
      <c r="B139" s="40" t="s">
        <v>67</v>
      </c>
      <c r="C139" s="70"/>
      <c r="D139" s="103"/>
      <c r="E139" s="126"/>
      <c r="F139" s="186">
        <f>SUM(F117:F138)</f>
        <v>0</v>
      </c>
    </row>
    <row r="140" spans="1:6" ht="15" thickBot="1">
      <c r="A140" s="263"/>
      <c r="B140" s="127"/>
      <c r="C140" s="128"/>
      <c r="D140" s="129"/>
      <c r="E140" s="130"/>
      <c r="F140" s="206"/>
    </row>
    <row r="141" spans="1:6" ht="15" thickBot="1">
      <c r="A141" s="252" t="s">
        <v>68</v>
      </c>
      <c r="B141" s="18" t="s">
        <v>69</v>
      </c>
      <c r="C141" s="19"/>
      <c r="D141" s="100"/>
      <c r="E141" s="55"/>
      <c r="F141" s="194"/>
    </row>
    <row r="142" spans="1:6">
      <c r="A142" s="258" t="s">
        <v>70</v>
      </c>
      <c r="B142" s="146" t="s">
        <v>71</v>
      </c>
      <c r="C142" s="2"/>
      <c r="D142" s="101"/>
      <c r="E142" s="48"/>
      <c r="F142" s="204"/>
    </row>
    <row r="143" spans="1:6">
      <c r="A143" s="258" t="s">
        <v>72</v>
      </c>
      <c r="B143" s="107" t="s">
        <v>73</v>
      </c>
      <c r="C143" s="2" t="s">
        <v>14</v>
      </c>
      <c r="D143" s="57">
        <f>((10.125*3)+(1.5*9)+(2.22*2))*3.1-((1*2.2*3)+(0.8*2.2*4)+(3.45*0.9))</f>
        <v>133.03149999999999</v>
      </c>
      <c r="E143" s="54"/>
      <c r="F143" s="190">
        <f>+E143*D143</f>
        <v>0</v>
      </c>
    </row>
    <row r="144" spans="1:6">
      <c r="A144" s="264" t="s">
        <v>74</v>
      </c>
      <c r="B144" s="145" t="s">
        <v>75</v>
      </c>
      <c r="C144" s="2"/>
      <c r="D144" s="57"/>
      <c r="E144" s="54"/>
      <c r="F144" s="190"/>
    </row>
    <row r="145" spans="1:6">
      <c r="A145" s="258" t="s">
        <v>76</v>
      </c>
      <c r="B145" s="107" t="s">
        <v>186</v>
      </c>
      <c r="C145" s="2" t="s">
        <v>27</v>
      </c>
      <c r="D145" s="57">
        <f>((2*0.2*0.4)+(2*0.2*0.6))*2</f>
        <v>0.8</v>
      </c>
      <c r="E145" s="54"/>
      <c r="F145" s="190"/>
    </row>
    <row r="146" spans="1:6">
      <c r="A146" s="258" t="s">
        <v>78</v>
      </c>
      <c r="B146" s="107" t="s">
        <v>79</v>
      </c>
      <c r="C146" s="2" t="s">
        <v>14</v>
      </c>
      <c r="D146" s="57">
        <v>0</v>
      </c>
      <c r="E146" s="54"/>
      <c r="F146" s="190">
        <f>+E146*D146</f>
        <v>0</v>
      </c>
    </row>
    <row r="147" spans="1:6">
      <c r="A147" s="265" t="s">
        <v>80</v>
      </c>
      <c r="B147" s="145" t="s">
        <v>44</v>
      </c>
      <c r="C147" s="2"/>
      <c r="D147" s="102"/>
      <c r="E147" s="54"/>
      <c r="F147" s="190"/>
    </row>
    <row r="148" spans="1:6">
      <c r="A148" s="265" t="s">
        <v>81</v>
      </c>
      <c r="B148" s="145" t="s">
        <v>82</v>
      </c>
      <c r="C148" s="2"/>
      <c r="D148" s="102"/>
      <c r="E148" s="54"/>
      <c r="F148" s="190"/>
    </row>
    <row r="149" spans="1:6" ht="26">
      <c r="A149" s="258" t="s">
        <v>83</v>
      </c>
      <c r="B149" s="107" t="s">
        <v>84</v>
      </c>
      <c r="C149" s="2" t="s">
        <v>32</v>
      </c>
      <c r="D149" s="102">
        <f>0.15*0.2*3.1*14</f>
        <v>1.302</v>
      </c>
      <c r="E149" s="117"/>
      <c r="F149" s="190">
        <f>+E149*D149</f>
        <v>0</v>
      </c>
    </row>
    <row r="150" spans="1:6">
      <c r="A150" s="265" t="s">
        <v>85</v>
      </c>
      <c r="B150" s="119" t="s">
        <v>86</v>
      </c>
      <c r="C150" s="2"/>
      <c r="D150" s="102"/>
      <c r="E150" s="54"/>
      <c r="F150" s="190"/>
    </row>
    <row r="151" spans="1:6">
      <c r="A151" s="258" t="s">
        <v>87</v>
      </c>
      <c r="B151" s="107" t="s">
        <v>88</v>
      </c>
      <c r="C151" s="2" t="s">
        <v>32</v>
      </c>
      <c r="D151" s="57">
        <f>((10.125*3)+(1.5*9)+(2.22*2))*0.2*0.15</f>
        <v>1.4494499999999999</v>
      </c>
      <c r="E151" s="117"/>
      <c r="F151" s="190">
        <f>+E151*D151</f>
        <v>0</v>
      </c>
    </row>
    <row r="152" spans="1:6" ht="15" thickBot="1">
      <c r="A152" s="266" t="s">
        <v>89</v>
      </c>
      <c r="B152" s="132" t="s">
        <v>90</v>
      </c>
      <c r="C152" s="61" t="s">
        <v>32</v>
      </c>
      <c r="D152" s="57">
        <f>((10.125*3)+(1.5*9)+(2.22*2))*0.2*0.15</f>
        <v>1.4494499999999999</v>
      </c>
      <c r="E152" s="117"/>
      <c r="F152" s="192">
        <f>+E152*D152</f>
        <v>0</v>
      </c>
    </row>
    <row r="153" spans="1:6" ht="15" thickBot="1">
      <c r="A153" s="267"/>
      <c r="B153" s="158" t="s">
        <v>91</v>
      </c>
      <c r="C153" s="136"/>
      <c r="D153" s="137"/>
      <c r="E153" s="138"/>
      <c r="F153" s="196">
        <f>SUM(F142:F152)</f>
        <v>0</v>
      </c>
    </row>
    <row r="154" spans="1:6" ht="15" thickBot="1">
      <c r="A154" s="268"/>
      <c r="B154" s="159"/>
      <c r="C154" s="131"/>
      <c r="D154" s="102"/>
      <c r="E154" s="52"/>
      <c r="F154" s="205"/>
    </row>
    <row r="155" spans="1:6" ht="15" thickBot="1">
      <c r="A155" s="269" t="s">
        <v>92</v>
      </c>
      <c r="B155" s="15" t="s">
        <v>93</v>
      </c>
      <c r="C155" s="16"/>
      <c r="D155" s="85"/>
      <c r="E155" s="50"/>
      <c r="F155" s="183"/>
    </row>
    <row r="156" spans="1:6">
      <c r="A156" s="265" t="s">
        <v>94</v>
      </c>
      <c r="B156" s="119" t="s">
        <v>187</v>
      </c>
      <c r="C156" s="2"/>
      <c r="D156" s="102"/>
      <c r="E156" s="54"/>
      <c r="F156" s="190"/>
    </row>
    <row r="157" spans="1:6">
      <c r="A157" s="270" t="s">
        <v>96</v>
      </c>
      <c r="B157" s="12" t="s">
        <v>188</v>
      </c>
      <c r="C157" s="2" t="s">
        <v>32</v>
      </c>
      <c r="D157" s="87">
        <f>((6.24*0.15*0.07)+(5.15*0.15*0.07)+(0.95*0.15*0.07)+(2*0.15*0.07)+(0.7*0.15*0.07))*6 + (0.07*0.15*10.95)</f>
        <v>1.062495</v>
      </c>
      <c r="E157" s="49"/>
      <c r="F157" s="182">
        <f>E157*D157</f>
        <v>0</v>
      </c>
    </row>
    <row r="158" spans="1:6">
      <c r="A158" s="270" t="s">
        <v>98</v>
      </c>
      <c r="B158" s="12" t="s">
        <v>99</v>
      </c>
      <c r="C158" s="2" t="s">
        <v>32</v>
      </c>
      <c r="D158" s="87">
        <f>(0.07*0.07*12.45)*8</f>
        <v>0.48804000000000003</v>
      </c>
      <c r="E158" s="49"/>
      <c r="F158" s="182">
        <f>E158*D158</f>
        <v>0</v>
      </c>
    </row>
    <row r="159" spans="1:6" ht="26">
      <c r="A159" s="270" t="s">
        <v>100</v>
      </c>
      <c r="B159" s="12" t="s">
        <v>101</v>
      </c>
      <c r="C159" s="2" t="s">
        <v>14</v>
      </c>
      <c r="D159" s="87">
        <f>(6.24*12.45)</f>
        <v>77.688000000000002</v>
      </c>
      <c r="E159" s="49"/>
      <c r="F159" s="182">
        <f>E159*D159</f>
        <v>0</v>
      </c>
    </row>
    <row r="160" spans="1:6" ht="15" thickBot="1">
      <c r="A160" s="270" t="s">
        <v>102</v>
      </c>
      <c r="B160" s="64" t="s">
        <v>103</v>
      </c>
      <c r="C160" s="61" t="s">
        <v>104</v>
      </c>
      <c r="D160" s="105">
        <f>(12.45*2)+(6.24*2)</f>
        <v>37.379999999999995</v>
      </c>
      <c r="E160" s="58"/>
      <c r="F160" s="188">
        <f>E160*D160</f>
        <v>0</v>
      </c>
    </row>
    <row r="161" spans="1:8" ht="15" thickBot="1">
      <c r="A161" s="262"/>
      <c r="B161" s="135" t="s">
        <v>105</v>
      </c>
      <c r="C161" s="70"/>
      <c r="D161" s="103"/>
      <c r="E161" s="126"/>
      <c r="F161" s="186">
        <f>SUM(F156:F160)</f>
        <v>0</v>
      </c>
    </row>
    <row r="162" spans="1:8" ht="15" thickBot="1">
      <c r="A162" s="273">
        <v>3</v>
      </c>
      <c r="B162" s="30" t="s">
        <v>106</v>
      </c>
      <c r="C162" s="26"/>
      <c r="D162" s="81"/>
      <c r="E162" s="45"/>
      <c r="F162" s="185"/>
    </row>
    <row r="163" spans="1:8" ht="15" thickBot="1">
      <c r="A163" s="274" t="s">
        <v>107</v>
      </c>
      <c r="B163" s="36" t="s">
        <v>108</v>
      </c>
      <c r="C163" s="37"/>
      <c r="D163" s="100"/>
      <c r="E163" s="55"/>
      <c r="F163" s="194"/>
    </row>
    <row r="164" spans="1:8">
      <c r="A164" s="275" t="s">
        <v>109</v>
      </c>
      <c r="B164" s="35" t="s">
        <v>110</v>
      </c>
      <c r="C164" s="32"/>
      <c r="D164" s="101"/>
      <c r="E164" s="48"/>
      <c r="F164" s="204"/>
    </row>
    <row r="165" spans="1:8">
      <c r="A165" s="276" t="s">
        <v>111</v>
      </c>
      <c r="B165" s="230" t="s">
        <v>112</v>
      </c>
      <c r="C165" s="32"/>
      <c r="D165" s="101"/>
      <c r="E165" s="48"/>
      <c r="F165" s="204"/>
    </row>
    <row r="166" spans="1:8">
      <c r="A166" s="275" t="s">
        <v>113</v>
      </c>
      <c r="B166" s="232" t="s">
        <v>114</v>
      </c>
      <c r="C166" s="32" t="s">
        <v>115</v>
      </c>
      <c r="D166" s="101">
        <v>2</v>
      </c>
      <c r="E166" s="48"/>
      <c r="F166" s="182">
        <f>E166*D166</f>
        <v>0</v>
      </c>
    </row>
    <row r="167" spans="1:8">
      <c r="A167" s="276" t="s">
        <v>116</v>
      </c>
      <c r="B167" s="230" t="s">
        <v>117</v>
      </c>
      <c r="C167" s="32"/>
      <c r="D167" s="101"/>
      <c r="E167" s="48"/>
      <c r="F167" s="204"/>
    </row>
    <row r="168" spans="1:8">
      <c r="A168" s="275" t="s">
        <v>118</v>
      </c>
      <c r="B168" s="64" t="s">
        <v>119</v>
      </c>
      <c r="C168" s="61" t="s">
        <v>115</v>
      </c>
      <c r="D168" s="105">
        <v>1</v>
      </c>
      <c r="E168" s="58"/>
      <c r="F168" s="182">
        <f>E168*D168</f>
        <v>0</v>
      </c>
    </row>
    <row r="169" spans="1:8">
      <c r="A169" s="275" t="s">
        <v>120</v>
      </c>
      <c r="B169" s="12" t="s">
        <v>121</v>
      </c>
      <c r="C169" s="2" t="s">
        <v>115</v>
      </c>
      <c r="D169" s="87">
        <v>8</v>
      </c>
      <c r="E169" s="52"/>
      <c r="F169" s="182">
        <f>E169*D169</f>
        <v>0</v>
      </c>
    </row>
    <row r="170" spans="1:8">
      <c r="A170" s="276" t="s">
        <v>189</v>
      </c>
      <c r="B170" s="230" t="s">
        <v>190</v>
      </c>
      <c r="C170" s="32"/>
      <c r="D170" s="101"/>
      <c r="E170" s="48"/>
      <c r="F170" s="204"/>
    </row>
    <row r="171" spans="1:8" ht="15" thickBot="1">
      <c r="A171" s="276" t="s">
        <v>191</v>
      </c>
      <c r="B171" s="12" t="s">
        <v>192</v>
      </c>
      <c r="C171" s="201" t="s">
        <v>115</v>
      </c>
      <c r="D171" s="202">
        <v>1</v>
      </c>
      <c r="E171" s="3"/>
      <c r="F171" s="182">
        <f>E171*D171</f>
        <v>0</v>
      </c>
    </row>
    <row r="172" spans="1:8" ht="15" thickBot="1">
      <c r="A172" s="262"/>
      <c r="B172" s="135" t="s">
        <v>126</v>
      </c>
      <c r="C172" s="70"/>
      <c r="D172" s="103"/>
      <c r="E172" s="126"/>
      <c r="F172" s="186">
        <f>SUM(F164:F171)</f>
        <v>0</v>
      </c>
    </row>
    <row r="173" spans="1:8" ht="15" thickBot="1">
      <c r="A173" s="263"/>
      <c r="B173" s="127"/>
      <c r="C173" s="131"/>
      <c r="D173" s="102"/>
      <c r="E173" s="52"/>
      <c r="F173" s="205"/>
    </row>
    <row r="174" spans="1:8" ht="15" thickBot="1">
      <c r="A174" s="269" t="s">
        <v>127</v>
      </c>
      <c r="B174" s="15" t="s">
        <v>193</v>
      </c>
      <c r="C174" s="31"/>
      <c r="D174" s="100"/>
      <c r="E174" s="55"/>
      <c r="F174" s="194"/>
    </row>
    <row r="175" spans="1:8" ht="26">
      <c r="A175" s="280" t="s">
        <v>129</v>
      </c>
      <c r="B175" s="12" t="s">
        <v>130</v>
      </c>
      <c r="C175" s="2" t="s">
        <v>14</v>
      </c>
      <c r="D175" s="57">
        <f>(((10.125*3)+(1.5*9)+(2.22*2))*3.1-((1*2.2*3)+(0.8*2.2*4)+(3.45*0.9))+(1.5*7*3))-77.4</f>
        <v>87.131499999999988</v>
      </c>
      <c r="E175" s="48"/>
      <c r="F175" s="190">
        <f t="shared" ref="F175:F180" si="5">+E175*D175</f>
        <v>0</v>
      </c>
      <c r="H175" s="238"/>
    </row>
    <row r="176" spans="1:8" ht="26">
      <c r="A176" s="280" t="s">
        <v>131</v>
      </c>
      <c r="B176" s="12" t="s">
        <v>132</v>
      </c>
      <c r="C176" s="2" t="s">
        <v>14</v>
      </c>
      <c r="D176" s="57">
        <v>77.400000000000006</v>
      </c>
      <c r="E176" s="48"/>
      <c r="F176" s="190">
        <f t="shared" si="5"/>
        <v>0</v>
      </c>
    </row>
    <row r="177" spans="1:6" ht="26">
      <c r="A177" s="280" t="s">
        <v>133</v>
      </c>
      <c r="B177" s="12" t="s">
        <v>134</v>
      </c>
      <c r="C177" s="2" t="s">
        <v>14</v>
      </c>
      <c r="D177" s="101">
        <f>((14*3*0.2)+(10.22*2)+(4.15*2))*0.2</f>
        <v>7.4280000000000008</v>
      </c>
      <c r="E177" s="48"/>
      <c r="F177" s="203">
        <f t="shared" si="5"/>
        <v>0</v>
      </c>
    </row>
    <row r="178" spans="1:6">
      <c r="A178" s="280" t="s">
        <v>135</v>
      </c>
      <c r="B178" s="12" t="s">
        <v>136</v>
      </c>
      <c r="C178" s="2" t="s">
        <v>14</v>
      </c>
      <c r="D178" s="101">
        <f>(10.22*2)+(4.15*2)*1</f>
        <v>28.740000000000002</v>
      </c>
      <c r="E178" s="48"/>
      <c r="F178" s="190">
        <f t="shared" si="5"/>
        <v>0</v>
      </c>
    </row>
    <row r="179" spans="1:6" ht="26">
      <c r="A179" s="280" t="s">
        <v>137</v>
      </c>
      <c r="B179" s="12" t="s">
        <v>138</v>
      </c>
      <c r="C179" s="2" t="s">
        <v>14</v>
      </c>
      <c r="D179" s="57">
        <v>78.599999999999994</v>
      </c>
      <c r="E179" s="49"/>
      <c r="F179" s="190">
        <f t="shared" si="5"/>
        <v>0</v>
      </c>
    </row>
    <row r="180" spans="1:6" ht="26.5" thickBot="1">
      <c r="A180" s="280" t="s">
        <v>139</v>
      </c>
      <c r="B180" s="12" t="s">
        <v>140</v>
      </c>
      <c r="C180" s="2" t="s">
        <v>14</v>
      </c>
      <c r="D180" s="57">
        <f>10.95*4.15</f>
        <v>45.442500000000003</v>
      </c>
      <c r="E180" s="49"/>
      <c r="F180" s="190">
        <f t="shared" si="5"/>
        <v>0</v>
      </c>
    </row>
    <row r="181" spans="1:6" ht="15" thickBot="1">
      <c r="A181" s="262"/>
      <c r="B181" s="135" t="s">
        <v>141</v>
      </c>
      <c r="C181" s="70" t="s">
        <v>142</v>
      </c>
      <c r="D181" s="103"/>
      <c r="E181" s="126"/>
      <c r="F181" s="186">
        <f>SUM(F175:F180)</f>
        <v>0</v>
      </c>
    </row>
    <row r="182" spans="1:6" ht="15" thickBot="1">
      <c r="A182" s="289"/>
      <c r="B182" s="124"/>
      <c r="C182" s="25"/>
      <c r="D182" s="84"/>
      <c r="E182" s="13"/>
      <c r="F182" s="179"/>
    </row>
    <row r="183" spans="1:6" ht="15" thickBot="1">
      <c r="A183" s="269" t="s">
        <v>143</v>
      </c>
      <c r="B183" s="125" t="s">
        <v>144</v>
      </c>
      <c r="C183" s="16"/>
      <c r="D183" s="85"/>
      <c r="E183" s="56"/>
      <c r="F183" s="193"/>
    </row>
    <row r="184" spans="1:6">
      <c r="A184" s="239" t="s">
        <v>145</v>
      </c>
      <c r="B184" s="34" t="s">
        <v>146</v>
      </c>
      <c r="C184" s="144" t="s">
        <v>104</v>
      </c>
      <c r="D184" s="90">
        <v>12.45</v>
      </c>
      <c r="E184" s="52"/>
      <c r="F184" s="190">
        <f>+E184*D184</f>
        <v>0</v>
      </c>
    </row>
    <row r="185" spans="1:6">
      <c r="A185" s="239" t="s">
        <v>147</v>
      </c>
      <c r="B185" s="33" t="s">
        <v>148</v>
      </c>
      <c r="C185" s="106" t="s">
        <v>104</v>
      </c>
      <c r="D185" s="87">
        <v>6</v>
      </c>
      <c r="E185" s="52"/>
      <c r="F185" s="190">
        <f>+E185*D185</f>
        <v>0</v>
      </c>
    </row>
    <row r="186" spans="1:6">
      <c r="A186" s="239" t="s">
        <v>149</v>
      </c>
      <c r="B186" s="34" t="s">
        <v>150</v>
      </c>
      <c r="C186" s="144" t="s">
        <v>151</v>
      </c>
      <c r="D186" s="90">
        <v>1</v>
      </c>
      <c r="E186" s="38"/>
      <c r="F186" s="195">
        <f t="shared" ref="F186" si="6">+E186*D186</f>
        <v>0</v>
      </c>
    </row>
    <row r="187" spans="1:6">
      <c r="A187" s="239" t="s">
        <v>152</v>
      </c>
      <c r="B187" s="34" t="s">
        <v>153</v>
      </c>
      <c r="C187" s="144" t="s">
        <v>115</v>
      </c>
      <c r="D187" s="90">
        <v>5</v>
      </c>
      <c r="E187" s="52"/>
      <c r="F187" s="190">
        <f>+E187*D187</f>
        <v>0</v>
      </c>
    </row>
    <row r="188" spans="1:6">
      <c r="A188" s="239" t="s">
        <v>154</v>
      </c>
      <c r="B188" s="34" t="s">
        <v>155</v>
      </c>
      <c r="C188" s="106"/>
      <c r="D188" s="87"/>
      <c r="E188" s="52"/>
      <c r="F188" s="190"/>
    </row>
    <row r="189" spans="1:6">
      <c r="A189" s="240" t="s">
        <v>156</v>
      </c>
      <c r="B189" s="34" t="s">
        <v>157</v>
      </c>
      <c r="C189" s="161" t="s">
        <v>9</v>
      </c>
      <c r="D189" s="91">
        <v>1</v>
      </c>
      <c r="E189" s="52"/>
      <c r="F189" s="190">
        <f t="shared" ref="F189:F190" si="7">+E189*D189</f>
        <v>0</v>
      </c>
    </row>
    <row r="190" spans="1:6" ht="26">
      <c r="A190" s="240" t="s">
        <v>158</v>
      </c>
      <c r="B190" s="234" t="s">
        <v>159</v>
      </c>
      <c r="C190" s="161" t="s">
        <v>115</v>
      </c>
      <c r="D190" s="91">
        <v>1</v>
      </c>
      <c r="E190" s="49"/>
      <c r="F190" s="190">
        <f t="shared" si="7"/>
        <v>0</v>
      </c>
    </row>
    <row r="191" spans="1:6">
      <c r="A191" s="240" t="s">
        <v>160</v>
      </c>
      <c r="B191" s="234" t="s">
        <v>161</v>
      </c>
      <c r="C191" s="143" t="s">
        <v>115</v>
      </c>
      <c r="D191" s="160"/>
      <c r="E191" s="73"/>
      <c r="F191" s="190"/>
    </row>
    <row r="192" spans="1:6">
      <c r="A192" s="241" t="s">
        <v>162</v>
      </c>
      <c r="B192" s="33" t="s">
        <v>163</v>
      </c>
      <c r="C192" s="143" t="s">
        <v>115</v>
      </c>
      <c r="D192" s="160">
        <v>6</v>
      </c>
      <c r="E192" s="73"/>
      <c r="F192" s="190">
        <f>+E192*D192</f>
        <v>0</v>
      </c>
    </row>
    <row r="193" spans="1:6">
      <c r="A193" s="241" t="s">
        <v>164</v>
      </c>
      <c r="B193" s="33" t="s">
        <v>165</v>
      </c>
      <c r="C193" s="161" t="s">
        <v>115</v>
      </c>
      <c r="D193" s="91">
        <v>1</v>
      </c>
      <c r="E193" s="49"/>
      <c r="F193" s="192">
        <f>+E193*D193</f>
        <v>0</v>
      </c>
    </row>
    <row r="194" spans="1:6">
      <c r="A194" s="242" t="s">
        <v>166</v>
      </c>
      <c r="B194" s="133" t="s">
        <v>167</v>
      </c>
      <c r="C194" s="161" t="s">
        <v>115</v>
      </c>
      <c r="D194" s="92">
        <v>0</v>
      </c>
      <c r="E194" s="58"/>
      <c r="F194" s="192">
        <f t="shared" ref="F194:F196" si="8">+E194*D194</f>
        <v>0</v>
      </c>
    </row>
    <row r="195" spans="1:6" ht="26">
      <c r="A195" s="242" t="s">
        <v>168</v>
      </c>
      <c r="B195" s="133" t="s">
        <v>169</v>
      </c>
      <c r="C195" s="162" t="s">
        <v>151</v>
      </c>
      <c r="D195" s="92">
        <v>1</v>
      </c>
      <c r="E195" s="58"/>
      <c r="F195" s="192">
        <f t="shared" si="8"/>
        <v>0</v>
      </c>
    </row>
    <row r="196" spans="1:6" ht="26">
      <c r="A196" s="242" t="s">
        <v>170</v>
      </c>
      <c r="B196" s="133" t="s">
        <v>171</v>
      </c>
      <c r="C196" s="162" t="s">
        <v>151</v>
      </c>
      <c r="D196" s="92">
        <v>1</v>
      </c>
      <c r="E196" s="58"/>
      <c r="F196" s="192">
        <f t="shared" si="8"/>
        <v>0</v>
      </c>
    </row>
    <row r="197" spans="1:6" ht="26">
      <c r="A197" s="241" t="s">
        <v>172</v>
      </c>
      <c r="B197" s="33" t="s">
        <v>173</v>
      </c>
      <c r="C197" s="161" t="s">
        <v>104</v>
      </c>
      <c r="D197" s="91">
        <v>30</v>
      </c>
      <c r="E197" s="49"/>
      <c r="F197" s="190">
        <f>+E197*D197</f>
        <v>0</v>
      </c>
    </row>
    <row r="198" spans="1:6" ht="15" thickBot="1">
      <c r="A198" s="239"/>
      <c r="B198" s="34"/>
      <c r="C198" s="144"/>
      <c r="D198" s="90"/>
      <c r="E198" s="38"/>
      <c r="F198" s="195"/>
    </row>
    <row r="199" spans="1:6" ht="15" thickBot="1">
      <c r="A199" s="262"/>
      <c r="B199" s="134" t="s">
        <v>174</v>
      </c>
      <c r="C199" s="70"/>
      <c r="D199" s="103"/>
      <c r="E199" s="71"/>
      <c r="F199" s="196">
        <f>SUM(F184:F198)</f>
        <v>0</v>
      </c>
    </row>
    <row r="200" spans="1:6" ht="15" thickBot="1">
      <c r="A200" s="283"/>
      <c r="B200" s="123"/>
      <c r="C200" s="74"/>
      <c r="D200" s="89"/>
      <c r="E200" s="63"/>
      <c r="F200" s="189"/>
    </row>
    <row r="201" spans="1:6" ht="15" thickBot="1">
      <c r="A201" s="269" t="s">
        <v>175</v>
      </c>
      <c r="B201" s="15" t="s">
        <v>176</v>
      </c>
      <c r="C201" s="16"/>
      <c r="D201" s="85"/>
      <c r="E201" s="50"/>
      <c r="F201" s="183"/>
    </row>
    <row r="202" spans="1:6" ht="26">
      <c r="A202" s="284" t="s">
        <v>177</v>
      </c>
      <c r="B202" s="17" t="s">
        <v>178</v>
      </c>
      <c r="C202" s="32" t="s">
        <v>14</v>
      </c>
      <c r="D202" s="90">
        <v>36.159999999999997</v>
      </c>
      <c r="E202" s="48"/>
      <c r="F202" s="187">
        <f>E202*D202</f>
        <v>0</v>
      </c>
    </row>
    <row r="203" spans="1:6">
      <c r="A203" s="280" t="s">
        <v>179</v>
      </c>
      <c r="B203" s="12" t="s">
        <v>180</v>
      </c>
      <c r="C203" s="61" t="s">
        <v>14</v>
      </c>
      <c r="D203" s="101">
        <f>(10.22*2)+(4.15*2)*2.1</f>
        <v>37.870000000000005</v>
      </c>
      <c r="E203" s="58"/>
      <c r="F203" s="182">
        <f>E203*D203</f>
        <v>0</v>
      </c>
    </row>
    <row r="204" spans="1:6">
      <c r="A204" s="285"/>
      <c r="B204" s="62" t="s">
        <v>181</v>
      </c>
      <c r="C204" s="65"/>
      <c r="D204" s="88"/>
      <c r="E204" s="66"/>
      <c r="F204" s="197">
        <f>SUM(F202:F203)</f>
        <v>0</v>
      </c>
    </row>
    <row r="205" spans="1:6" ht="15" thickBot="1">
      <c r="A205" s="286"/>
      <c r="B205" s="72"/>
      <c r="C205" s="20"/>
      <c r="D205" s="104"/>
      <c r="E205" s="44"/>
      <c r="F205" s="198"/>
    </row>
    <row r="206" spans="1:6" ht="15" thickBot="1">
      <c r="A206" s="287"/>
      <c r="B206" s="120" t="s">
        <v>194</v>
      </c>
      <c r="C206" s="11"/>
      <c r="D206" s="80"/>
      <c r="E206" s="60"/>
      <c r="F206" s="228">
        <f>SUM(F117:F205)/2</f>
        <v>0</v>
      </c>
    </row>
    <row r="207" spans="1:6" ht="15" thickBot="1">
      <c r="A207" s="290">
        <v>4</v>
      </c>
      <c r="B207" s="151" t="s">
        <v>195</v>
      </c>
      <c r="C207" s="148"/>
      <c r="D207" s="93"/>
      <c r="E207" s="68"/>
      <c r="F207" s="222"/>
    </row>
    <row r="208" spans="1:6" ht="26.5" thickBot="1">
      <c r="A208" s="291" t="s">
        <v>196</v>
      </c>
      <c r="B208" s="152" t="s">
        <v>197</v>
      </c>
      <c r="C208" s="149"/>
      <c r="D208" s="85"/>
      <c r="E208" s="50"/>
      <c r="F208" s="220"/>
    </row>
    <row r="209" spans="1:6">
      <c r="A209" s="292" t="s">
        <v>198</v>
      </c>
      <c r="B209" s="153" t="s">
        <v>199</v>
      </c>
      <c r="C209" s="156" t="s">
        <v>32</v>
      </c>
      <c r="D209" s="157">
        <f>((33.7*2)+(12.3*2))*0.2*0.15</f>
        <v>2.7600000000000002</v>
      </c>
      <c r="E209" s="130"/>
      <c r="F209" s="223">
        <f t="shared" ref="F209:F219" si="9">E209*D209</f>
        <v>0</v>
      </c>
    </row>
    <row r="210" spans="1:6">
      <c r="A210" s="293" t="s">
        <v>200</v>
      </c>
      <c r="B210" s="154" t="s">
        <v>201</v>
      </c>
      <c r="C210" s="1" t="s">
        <v>32</v>
      </c>
      <c r="D210" s="94">
        <f>((33.7*2)+(12.3*2))*0.05*0.15</f>
        <v>0.69000000000000006</v>
      </c>
      <c r="E210" s="52"/>
      <c r="F210" s="224">
        <f t="shared" si="9"/>
        <v>0</v>
      </c>
    </row>
    <row r="211" spans="1:6">
      <c r="A211" s="293" t="s">
        <v>202</v>
      </c>
      <c r="B211" s="154" t="s">
        <v>203</v>
      </c>
      <c r="C211" s="1" t="s">
        <v>32</v>
      </c>
      <c r="D211" s="94">
        <v>2.1</v>
      </c>
      <c r="E211" s="52"/>
      <c r="F211" s="224">
        <f t="shared" si="9"/>
        <v>0</v>
      </c>
    </row>
    <row r="212" spans="1:6">
      <c r="A212" s="293" t="s">
        <v>204</v>
      </c>
      <c r="B212" s="154" t="s">
        <v>205</v>
      </c>
      <c r="C212" s="1" t="s">
        <v>32</v>
      </c>
      <c r="D212" s="95">
        <f>((0.8*10.5*2)+(0.8*14.78*2))*0.07</f>
        <v>2.8313600000000001</v>
      </c>
      <c r="E212" s="52"/>
      <c r="F212" s="224">
        <f>E212*D212</f>
        <v>0</v>
      </c>
    </row>
    <row r="213" spans="1:6" ht="26">
      <c r="A213" s="293" t="s">
        <v>206</v>
      </c>
      <c r="B213" s="39" t="s">
        <v>207</v>
      </c>
      <c r="C213" s="1" t="s">
        <v>32</v>
      </c>
      <c r="D213" s="95">
        <f>(2*0.7*0.1)+(1.83*0.7*0.1)+(1.54*0.7*0.1)+(1.7*0.7*0.1*2)</f>
        <v>0.6139</v>
      </c>
      <c r="E213" s="52"/>
      <c r="F213" s="224">
        <f t="shared" si="9"/>
        <v>0</v>
      </c>
    </row>
    <row r="214" spans="1:6" ht="39">
      <c r="A214" s="293" t="s">
        <v>208</v>
      </c>
      <c r="B214" s="39" t="s">
        <v>209</v>
      </c>
      <c r="C214" s="1" t="s">
        <v>104</v>
      </c>
      <c r="D214" s="96">
        <v>33</v>
      </c>
      <c r="E214" s="52"/>
      <c r="F214" s="225">
        <f t="shared" si="9"/>
        <v>0</v>
      </c>
    </row>
    <row r="215" spans="1:6">
      <c r="A215" s="293" t="s">
        <v>210</v>
      </c>
      <c r="B215" s="39" t="s">
        <v>211</v>
      </c>
      <c r="C215" s="1" t="s">
        <v>212</v>
      </c>
      <c r="D215" s="96">
        <v>0</v>
      </c>
      <c r="E215" s="52"/>
      <c r="F215" s="225">
        <f t="shared" si="9"/>
        <v>0</v>
      </c>
    </row>
    <row r="216" spans="1:6">
      <c r="A216" s="294" t="s">
        <v>213</v>
      </c>
      <c r="B216" s="67" t="s">
        <v>214</v>
      </c>
      <c r="C216" s="1" t="s">
        <v>14</v>
      </c>
      <c r="D216" s="97">
        <v>36</v>
      </c>
      <c r="E216" s="52"/>
      <c r="F216" s="225">
        <f t="shared" si="9"/>
        <v>0</v>
      </c>
    </row>
    <row r="217" spans="1:6">
      <c r="A217" s="294" t="s">
        <v>215</v>
      </c>
      <c r="B217" s="67" t="s">
        <v>216</v>
      </c>
      <c r="C217" s="69" t="s">
        <v>32</v>
      </c>
      <c r="D217" s="98">
        <v>1.94</v>
      </c>
      <c r="E217" s="52"/>
      <c r="F217" s="225">
        <f t="shared" si="9"/>
        <v>0</v>
      </c>
    </row>
    <row r="218" spans="1:6">
      <c r="A218" s="293" t="s">
        <v>217</v>
      </c>
      <c r="B218" s="39" t="s">
        <v>218</v>
      </c>
      <c r="C218" s="1" t="s">
        <v>151</v>
      </c>
      <c r="D218" s="102">
        <v>1</v>
      </c>
      <c r="E218" s="52"/>
      <c r="F218" s="224">
        <f t="shared" si="9"/>
        <v>0</v>
      </c>
    </row>
    <row r="219" spans="1:6" ht="15" thickBot="1">
      <c r="A219" s="294" t="s">
        <v>219</v>
      </c>
      <c r="B219" s="142" t="s">
        <v>220</v>
      </c>
      <c r="C219" s="69" t="s">
        <v>212</v>
      </c>
      <c r="D219" s="208">
        <v>5</v>
      </c>
      <c r="E219" s="53"/>
      <c r="F219" s="227">
        <f t="shared" si="9"/>
        <v>0</v>
      </c>
    </row>
    <row r="220" spans="1:6" ht="26.5" thickBot="1">
      <c r="A220" s="295"/>
      <c r="B220" s="40" t="s">
        <v>221</v>
      </c>
      <c r="C220" s="70"/>
      <c r="D220" s="103"/>
      <c r="E220" s="126"/>
      <c r="F220" s="221">
        <f>SUM(F209:F219)</f>
        <v>0</v>
      </c>
    </row>
    <row r="221" spans="1:6" ht="15" thickBot="1">
      <c r="A221" s="296"/>
      <c r="B221" s="155"/>
      <c r="C221" s="150"/>
      <c r="D221" s="99"/>
      <c r="E221" s="3"/>
      <c r="F221" s="226"/>
    </row>
    <row r="222" spans="1:6" ht="15" thickBot="1">
      <c r="A222" s="287">
        <v>4</v>
      </c>
      <c r="B222" s="120" t="s">
        <v>195</v>
      </c>
      <c r="C222" s="59"/>
      <c r="D222" s="80"/>
      <c r="E222" s="60"/>
      <c r="F222" s="228">
        <f>SUM(F209:F220)/2</f>
        <v>0</v>
      </c>
    </row>
    <row r="223" spans="1:6" ht="15" thickBot="1">
      <c r="A223" s="288"/>
      <c r="B223" s="141"/>
      <c r="C223" s="24"/>
      <c r="D223" s="165"/>
      <c r="E223" s="24"/>
      <c r="F223" s="200"/>
    </row>
    <row r="224" spans="1:6" ht="47" customHeight="1" thickBot="1">
      <c r="A224" s="484" t="s">
        <v>336</v>
      </c>
      <c r="B224" s="485"/>
      <c r="C224" s="485"/>
      <c r="D224" s="485"/>
      <c r="E224" s="485"/>
      <c r="F224" s="486"/>
    </row>
    <row r="225" spans="1:6" ht="15" thickBot="1">
      <c r="A225" s="297" t="s">
        <v>222</v>
      </c>
      <c r="B225" s="166" t="s">
        <v>223</v>
      </c>
      <c r="C225" s="167"/>
      <c r="D225" s="168"/>
      <c r="E225" s="169"/>
      <c r="F225" s="199" t="s">
        <v>339</v>
      </c>
    </row>
    <row r="226" spans="1:6" ht="15" thickBot="1">
      <c r="A226" s="298">
        <v>0</v>
      </c>
      <c r="B226" s="468" t="s">
        <v>224</v>
      </c>
      <c r="C226" s="469"/>
      <c r="D226" s="469"/>
      <c r="E226" s="470"/>
      <c r="F226" s="212">
        <f>F17</f>
        <v>0</v>
      </c>
    </row>
    <row r="227" spans="1:6" ht="15" thickBot="1">
      <c r="A227" s="298">
        <v>1</v>
      </c>
      <c r="B227" s="468" t="s">
        <v>227</v>
      </c>
      <c r="C227" s="469"/>
      <c r="D227" s="469"/>
      <c r="E227" s="470"/>
      <c r="F227" s="212">
        <f>F112</f>
        <v>0</v>
      </c>
    </row>
    <row r="228" spans="1:6" ht="15" thickBot="1">
      <c r="A228" s="298">
        <v>2</v>
      </c>
      <c r="B228" s="487" t="s">
        <v>228</v>
      </c>
      <c r="C228" s="488"/>
      <c r="D228" s="488"/>
      <c r="E228" s="489"/>
      <c r="F228" s="213">
        <f>F206</f>
        <v>0</v>
      </c>
    </row>
    <row r="229" spans="1:6" ht="15" thickBot="1">
      <c r="A229" s="298">
        <v>4</v>
      </c>
      <c r="B229" s="468" t="str">
        <f>+B207</f>
        <v xml:space="preserve">AMENAGEMENT EXTERIEUR </v>
      </c>
      <c r="C229" s="469"/>
      <c r="D229" s="469"/>
      <c r="E229" s="470"/>
      <c r="F229" s="212">
        <f>+F222</f>
        <v>0</v>
      </c>
    </row>
    <row r="230" spans="1:6" ht="15" thickBot="1">
      <c r="A230" s="299"/>
      <c r="B230" s="170" t="s">
        <v>231</v>
      </c>
      <c r="C230" s="171"/>
      <c r="D230" s="172"/>
      <c r="E230" s="173"/>
      <c r="F230" s="214">
        <f>SUM(F226:F229)</f>
        <v>0</v>
      </c>
    </row>
    <row r="254" spans="13:13" ht="15.5">
      <c r="M254" s="301"/>
    </row>
    <row r="255" spans="13:13" ht="15.5">
      <c r="M255" s="301"/>
    </row>
    <row r="262" ht="26" customHeight="1"/>
    <row r="308" spans="7:9">
      <c r="G308" s="237"/>
      <c r="I308" s="237"/>
    </row>
    <row r="358" ht="21.65" customHeight="1"/>
    <row r="402" spans="8:8">
      <c r="H402" s="238"/>
    </row>
    <row r="451" spans="1:7" ht="47" customHeight="1"/>
    <row r="459" spans="1:7">
      <c r="G459" s="300"/>
    </row>
    <row r="460" spans="1:7">
      <c r="G460" s="300"/>
    </row>
    <row r="464" spans="1:7" s="311" customFormat="1">
      <c r="A464" s="300"/>
      <c r="B464"/>
      <c r="C464"/>
      <c r="D464"/>
      <c r="E464"/>
      <c r="F464"/>
    </row>
    <row r="465" spans="1:6" s="311" customFormat="1">
      <c r="A465" s="300"/>
      <c r="B465"/>
      <c r="C465"/>
      <c r="D465"/>
      <c r="E465"/>
      <c r="F465"/>
    </row>
    <row r="466" spans="1:6" s="311" customFormat="1">
      <c r="A466" s="300"/>
      <c r="B466"/>
      <c r="C466"/>
      <c r="D466"/>
      <c r="E466"/>
      <c r="F466"/>
    </row>
    <row r="467" spans="1:6" s="311" customFormat="1">
      <c r="A467" s="300"/>
      <c r="B467"/>
      <c r="C467"/>
      <c r="D467"/>
      <c r="E467"/>
      <c r="F467"/>
    </row>
    <row r="468" spans="1:6" s="311" customFormat="1">
      <c r="A468" s="300"/>
      <c r="B468"/>
      <c r="C468"/>
      <c r="D468"/>
      <c r="E468"/>
      <c r="F468"/>
    </row>
    <row r="469" spans="1:6" s="311" customFormat="1">
      <c r="A469" s="300"/>
      <c r="B469"/>
      <c r="C469"/>
      <c r="D469"/>
      <c r="E469"/>
      <c r="F469"/>
    </row>
    <row r="470" spans="1:6" s="311" customFormat="1">
      <c r="A470" s="300"/>
      <c r="B470"/>
      <c r="C470"/>
      <c r="D470"/>
      <c r="E470"/>
      <c r="F470"/>
    </row>
    <row r="471" spans="1:6" s="311" customFormat="1">
      <c r="A471" s="300"/>
      <c r="B471"/>
      <c r="C471"/>
      <c r="D471"/>
      <c r="E471"/>
      <c r="F471"/>
    </row>
    <row r="472" spans="1:6" s="311" customFormat="1">
      <c r="A472" s="300"/>
      <c r="B472"/>
      <c r="C472"/>
      <c r="D472"/>
      <c r="E472"/>
      <c r="F472"/>
    </row>
    <row r="473" spans="1:6" s="311" customFormat="1">
      <c r="A473" s="300"/>
      <c r="B473"/>
      <c r="C473"/>
      <c r="D473"/>
      <c r="E473"/>
      <c r="F473"/>
    </row>
    <row r="474" spans="1:6" s="311" customFormat="1">
      <c r="A474" s="300"/>
      <c r="B474"/>
      <c r="C474"/>
      <c r="D474"/>
      <c r="E474"/>
      <c r="F474"/>
    </row>
    <row r="475" spans="1:6" s="311" customFormat="1">
      <c r="A475" s="300"/>
      <c r="B475"/>
      <c r="C475"/>
      <c r="D475"/>
      <c r="E475"/>
      <c r="F475"/>
    </row>
    <row r="500" spans="1:6" s="311" customFormat="1">
      <c r="A500" s="300"/>
      <c r="B500"/>
      <c r="C500"/>
      <c r="D500"/>
      <c r="E500"/>
      <c r="F500"/>
    </row>
    <row r="523" spans="1:6" s="372" customFormat="1">
      <c r="A523" s="300"/>
      <c r="B523"/>
      <c r="C523"/>
      <c r="D523"/>
      <c r="E523"/>
      <c r="F523"/>
    </row>
    <row r="535" ht="27" customHeight="1"/>
    <row r="551" spans="1:6" s="372" customFormat="1">
      <c r="A551" s="300"/>
      <c r="B551"/>
      <c r="C551"/>
      <c r="D551"/>
      <c r="E551"/>
      <c r="F551"/>
    </row>
    <row r="552" spans="1:6" s="372" customFormat="1">
      <c r="A552" s="300"/>
      <c r="B552"/>
      <c r="C552"/>
      <c r="D552"/>
      <c r="E552"/>
      <c r="F552"/>
    </row>
    <row r="553" spans="1:6" s="372" customFormat="1">
      <c r="A553" s="300"/>
      <c r="B553"/>
      <c r="C553"/>
      <c r="D553"/>
      <c r="E553"/>
      <c r="F553"/>
    </row>
    <row r="554" spans="1:6" s="372" customFormat="1">
      <c r="A554" s="300"/>
      <c r="B554"/>
      <c r="C554"/>
      <c r="D554"/>
      <c r="E554"/>
      <c r="F554"/>
    </row>
    <row r="555" spans="1:6" s="372" customFormat="1">
      <c r="A555" s="300"/>
      <c r="B555"/>
      <c r="C555"/>
      <c r="D555"/>
      <c r="E555"/>
      <c r="F555"/>
    </row>
    <row r="556" spans="1:6" s="372" customFormat="1">
      <c r="A556" s="300"/>
      <c r="B556"/>
      <c r="C556"/>
      <c r="D556"/>
      <c r="E556"/>
      <c r="F556"/>
    </row>
    <row r="557" spans="1:6" s="372" customFormat="1">
      <c r="A557" s="300"/>
      <c r="B557"/>
      <c r="C557"/>
      <c r="D557"/>
      <c r="E557"/>
      <c r="F557"/>
    </row>
    <row r="558" spans="1:6" s="372" customFormat="1">
      <c r="A558" s="300"/>
      <c r="B558"/>
      <c r="C558"/>
      <c r="D558"/>
      <c r="E558"/>
      <c r="F558"/>
    </row>
    <row r="559" spans="1:6" s="372" customFormat="1">
      <c r="A559" s="300"/>
      <c r="B559"/>
      <c r="C559"/>
      <c r="D559"/>
      <c r="E559"/>
      <c r="F559"/>
    </row>
    <row r="560" spans="1:6" s="372" customFormat="1">
      <c r="A560" s="300"/>
      <c r="B560"/>
      <c r="C560"/>
      <c r="D560"/>
      <c r="E560"/>
      <c r="F560"/>
    </row>
    <row r="561" spans="1:6" s="372" customFormat="1">
      <c r="A561" s="300"/>
      <c r="B561"/>
      <c r="C561"/>
      <c r="D561"/>
      <c r="E561"/>
      <c r="F561"/>
    </row>
    <row r="562" spans="1:6" s="372" customFormat="1">
      <c r="A562" s="300"/>
      <c r="B562"/>
      <c r="C562"/>
      <c r="D562"/>
      <c r="E562"/>
      <c r="F562"/>
    </row>
    <row r="563" spans="1:6" s="372" customFormat="1">
      <c r="A563" s="300"/>
      <c r="B563"/>
      <c r="C563"/>
      <c r="D563"/>
      <c r="E563"/>
      <c r="F563"/>
    </row>
    <row r="573" spans="1:6" s="372" customFormat="1">
      <c r="A573" s="300"/>
      <c r="B573"/>
      <c r="C573"/>
      <c r="D573"/>
      <c r="E573"/>
      <c r="F573"/>
    </row>
    <row r="574" spans="1:6" s="372" customFormat="1">
      <c r="A574" s="300"/>
      <c r="B574"/>
      <c r="C574"/>
      <c r="D574"/>
      <c r="E574"/>
      <c r="F574"/>
    </row>
    <row r="575" spans="1:6" s="372" customFormat="1">
      <c r="A575" s="300"/>
      <c r="B575"/>
      <c r="C575"/>
      <c r="D575"/>
      <c r="E575"/>
      <c r="F575"/>
    </row>
    <row r="599" ht="23.4" customHeight="1"/>
  </sheetData>
  <mergeCells count="11">
    <mergeCell ref="A2:F3"/>
    <mergeCell ref="A114:F114"/>
    <mergeCell ref="A5:F5"/>
    <mergeCell ref="A6:F7"/>
    <mergeCell ref="A18:F18"/>
    <mergeCell ref="A19:F19"/>
    <mergeCell ref="A224:F224"/>
    <mergeCell ref="B226:E226"/>
    <mergeCell ref="B227:E227"/>
    <mergeCell ref="B228:E228"/>
    <mergeCell ref="B229:E2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DDEE-4258-450F-8804-424D6FF65503}">
  <dimension ref="A1:F226"/>
  <sheetViews>
    <sheetView topLeftCell="A8" workbookViewId="0">
      <selection activeCell="J18" sqref="J18"/>
    </sheetView>
  </sheetViews>
  <sheetFormatPr baseColWidth="10" defaultRowHeight="14.5"/>
  <cols>
    <col min="2" max="2" width="44.1796875" customWidth="1"/>
    <col min="5" max="5" width="25" customWidth="1"/>
    <col min="6" max="6" width="11" customWidth="1"/>
  </cols>
  <sheetData>
    <row r="1" spans="1:6">
      <c r="A1" s="480" t="s">
        <v>344</v>
      </c>
      <c r="B1" s="480"/>
      <c r="C1" s="480"/>
      <c r="D1" s="480"/>
      <c r="E1" s="480"/>
      <c r="F1" s="480"/>
    </row>
    <row r="2" spans="1:6">
      <c r="A2" s="480"/>
      <c r="B2" s="480"/>
      <c r="C2" s="480"/>
      <c r="D2" s="480"/>
      <c r="E2" s="480"/>
      <c r="F2" s="480"/>
    </row>
    <row r="3" spans="1:6" ht="15" thickBot="1">
      <c r="A3" s="243"/>
      <c r="B3" s="110"/>
      <c r="C3" s="109"/>
      <c r="D3" s="108"/>
      <c r="E3" s="109"/>
      <c r="F3" s="108"/>
    </row>
    <row r="4" spans="1:6" ht="15" thickBot="1">
      <c r="A4" s="244" t="s">
        <v>0</v>
      </c>
      <c r="B4" s="8" t="s">
        <v>1</v>
      </c>
      <c r="C4" s="7" t="s">
        <v>2</v>
      </c>
      <c r="D4" s="75" t="s">
        <v>3</v>
      </c>
      <c r="E4" s="41" t="s">
        <v>4</v>
      </c>
      <c r="F4" s="163" t="s">
        <v>5</v>
      </c>
    </row>
    <row r="5" spans="1:6" ht="15" thickBot="1">
      <c r="A5" s="245"/>
      <c r="B5" s="24"/>
      <c r="C5" s="25"/>
      <c r="D5" s="76"/>
      <c r="E5" s="13"/>
      <c r="F5" s="177"/>
    </row>
    <row r="6" spans="1:6" ht="15" thickBot="1">
      <c r="A6" s="246">
        <v>0</v>
      </c>
      <c r="B6" s="175" t="s">
        <v>6</v>
      </c>
      <c r="C6" s="111"/>
      <c r="D6" s="112"/>
      <c r="E6" s="113"/>
      <c r="F6" s="178"/>
    </row>
    <row r="7" spans="1:6" ht="39">
      <c r="A7" s="247" t="s">
        <v>7</v>
      </c>
      <c r="B7" s="21" t="s">
        <v>8</v>
      </c>
      <c r="C7" s="22" t="s">
        <v>9</v>
      </c>
      <c r="D7" s="77">
        <v>1</v>
      </c>
      <c r="E7" s="42"/>
      <c r="F7" s="215">
        <f>E7*D7</f>
        <v>0</v>
      </c>
    </row>
    <row r="8" spans="1:6" ht="15" thickBot="1">
      <c r="A8" s="248"/>
      <c r="B8" s="9" t="s">
        <v>10</v>
      </c>
      <c r="C8" s="4"/>
      <c r="D8" s="78"/>
      <c r="E8" s="43"/>
      <c r="F8" s="216">
        <f>SUM(F7:F7)</f>
        <v>0</v>
      </c>
    </row>
    <row r="9" spans="1:6" ht="15" thickBot="1">
      <c r="A9" s="246">
        <v>1</v>
      </c>
      <c r="B9" s="23" t="s">
        <v>11</v>
      </c>
      <c r="C9" s="111"/>
      <c r="D9" s="114"/>
      <c r="E9" s="113"/>
      <c r="F9" s="217"/>
    </row>
    <row r="10" spans="1:6">
      <c r="A10" s="247" t="s">
        <v>12</v>
      </c>
      <c r="B10" s="21" t="s">
        <v>13</v>
      </c>
      <c r="C10" s="22" t="s">
        <v>14</v>
      </c>
      <c r="D10" s="164">
        <f>2*(13*7)</f>
        <v>182</v>
      </c>
      <c r="E10" s="42"/>
      <c r="F10" s="215">
        <f>E10*D10</f>
        <v>0</v>
      </c>
    </row>
    <row r="11" spans="1:6" ht="15" thickBot="1">
      <c r="A11" s="249"/>
      <c r="B11" s="9" t="s">
        <v>15</v>
      </c>
      <c r="C11" s="4"/>
      <c r="D11" s="79"/>
      <c r="E11" s="43"/>
      <c r="F11" s="218">
        <f>SUM(F10)</f>
        <v>0</v>
      </c>
    </row>
    <row r="12" spans="1:6" ht="27" thickBot="1">
      <c r="A12" s="250"/>
      <c r="B12" s="10" t="s">
        <v>16</v>
      </c>
      <c r="C12" s="11"/>
      <c r="D12" s="80"/>
      <c r="E12" s="5"/>
      <c r="F12" s="219">
        <f>+F8+F11</f>
        <v>0</v>
      </c>
    </row>
    <row r="13" spans="1:6" ht="15" thickBot="1">
      <c r="A13" s="471"/>
      <c r="B13" s="472"/>
      <c r="C13" s="472"/>
      <c r="D13" s="472"/>
      <c r="E13" s="472"/>
      <c r="F13" s="473"/>
    </row>
    <row r="14" spans="1:6" ht="15" thickBot="1">
      <c r="A14" s="496" t="s">
        <v>17</v>
      </c>
      <c r="B14" s="497"/>
      <c r="C14" s="497"/>
      <c r="D14" s="497"/>
      <c r="E14" s="497"/>
      <c r="F14" s="498"/>
    </row>
    <row r="15" spans="1:6" ht="26.5" thickBot="1">
      <c r="A15" s="251">
        <v>2</v>
      </c>
      <c r="B15" s="121" t="s">
        <v>18</v>
      </c>
      <c r="C15" s="25"/>
      <c r="D15" s="84"/>
      <c r="E15" s="13"/>
      <c r="F15" s="179"/>
    </row>
    <row r="16" spans="1:6" ht="15" thickBot="1">
      <c r="A16" s="252" t="s">
        <v>19</v>
      </c>
      <c r="B16" s="29" t="s">
        <v>20</v>
      </c>
      <c r="C16" s="19"/>
      <c r="D16" s="82"/>
      <c r="E16" s="46"/>
      <c r="F16" s="174"/>
    </row>
    <row r="17" spans="1:6">
      <c r="A17" s="253" t="s">
        <v>21</v>
      </c>
      <c r="B17" s="211" t="s">
        <v>22</v>
      </c>
      <c r="C17" s="28"/>
      <c r="D17" s="83"/>
      <c r="E17" s="47"/>
      <c r="F17" s="180"/>
    </row>
    <row r="18" spans="1:6">
      <c r="A18" s="253" t="s">
        <v>23</v>
      </c>
      <c r="B18" s="27" t="s">
        <v>24</v>
      </c>
      <c r="C18" s="28"/>
      <c r="D18" s="83"/>
      <c r="E18" s="47"/>
      <c r="F18" s="180"/>
    </row>
    <row r="19" spans="1:6">
      <c r="A19" s="254" t="s">
        <v>25</v>
      </c>
      <c r="B19" s="147" t="s">
        <v>26</v>
      </c>
      <c r="C19" s="32" t="s">
        <v>27</v>
      </c>
      <c r="D19" s="116">
        <f>(1.55+5.35+10.46)*0.35*1</f>
        <v>6.0759999999999996</v>
      </c>
      <c r="E19" s="47"/>
      <c r="F19" s="181">
        <f>E19*D19</f>
        <v>0</v>
      </c>
    </row>
    <row r="20" spans="1:6">
      <c r="A20" s="253" t="s">
        <v>28</v>
      </c>
      <c r="B20" s="27" t="s">
        <v>29</v>
      </c>
      <c r="C20" s="28"/>
      <c r="D20" s="83"/>
      <c r="E20" s="47"/>
      <c r="F20" s="180"/>
    </row>
    <row r="21" spans="1:6">
      <c r="A21" s="255" t="s">
        <v>30</v>
      </c>
      <c r="B21" s="115" t="s">
        <v>31</v>
      </c>
      <c r="C21" s="116" t="s">
        <v>32</v>
      </c>
      <c r="D21" s="87">
        <f>9.55*3.35*3</f>
        <v>95.977500000000006</v>
      </c>
      <c r="E21" s="117"/>
      <c r="F21" s="181">
        <f>E21*D21</f>
        <v>0</v>
      </c>
    </row>
    <row r="22" spans="1:6">
      <c r="A22" s="256" t="s">
        <v>33</v>
      </c>
      <c r="B22" s="118" t="s">
        <v>34</v>
      </c>
      <c r="C22" s="116"/>
      <c r="D22" s="87"/>
      <c r="E22" s="117"/>
      <c r="F22" s="181"/>
    </row>
    <row r="23" spans="1:6">
      <c r="A23" s="255" t="s">
        <v>35</v>
      </c>
      <c r="B23" s="115" t="s">
        <v>36</v>
      </c>
      <c r="C23" s="116" t="s">
        <v>32</v>
      </c>
      <c r="D23" s="116">
        <f>(1.55+5.35+10.46)*0.35*0.05</f>
        <v>0.30380000000000001</v>
      </c>
      <c r="E23" s="117"/>
      <c r="F23" s="181">
        <f>E23*D23</f>
        <v>0</v>
      </c>
    </row>
    <row r="24" spans="1:6">
      <c r="A24" s="255" t="s">
        <v>37</v>
      </c>
      <c r="B24" s="118" t="s">
        <v>38</v>
      </c>
      <c r="C24" s="116"/>
      <c r="D24" s="87"/>
      <c r="E24" s="117"/>
      <c r="F24" s="181"/>
    </row>
    <row r="25" spans="1:6" ht="26">
      <c r="A25" s="255" t="s">
        <v>39</v>
      </c>
      <c r="B25" s="145" t="s">
        <v>40</v>
      </c>
      <c r="C25" s="116" t="s">
        <v>32</v>
      </c>
      <c r="D25" s="116">
        <f>(1.55+5.35+10.46)*0.35*0.95</f>
        <v>5.7721999999999998</v>
      </c>
      <c r="E25" s="117"/>
      <c r="F25" s="181">
        <f>E25*D25</f>
        <v>0</v>
      </c>
    </row>
    <row r="26" spans="1:6" ht="26">
      <c r="A26" s="255" t="s">
        <v>41</v>
      </c>
      <c r="B26" s="115" t="s">
        <v>42</v>
      </c>
      <c r="C26" s="116" t="s">
        <v>32</v>
      </c>
      <c r="D26" s="87">
        <f>((9.55*2)+(3.35*3))*0.35*3</f>
        <v>30.607500000000002</v>
      </c>
      <c r="E26" s="117"/>
      <c r="F26" s="181">
        <f>E26*D26</f>
        <v>0</v>
      </c>
    </row>
    <row r="27" spans="1:6">
      <c r="A27" s="257" t="s">
        <v>43</v>
      </c>
      <c r="B27" s="119" t="s">
        <v>44</v>
      </c>
      <c r="C27" s="116"/>
      <c r="D27" s="87"/>
      <c r="E27" s="117"/>
      <c r="F27" s="181"/>
    </row>
    <row r="28" spans="1:6" ht="26">
      <c r="A28" s="255" t="s">
        <v>45</v>
      </c>
      <c r="B28" s="115" t="s">
        <v>46</v>
      </c>
      <c r="C28" s="116" t="s">
        <v>32</v>
      </c>
      <c r="D28" s="87">
        <f>0.35*0.35*0.95*6</f>
        <v>0.69824999999999982</v>
      </c>
      <c r="E28" s="117"/>
      <c r="F28" s="181">
        <f>E28*D28</f>
        <v>0</v>
      </c>
    </row>
    <row r="29" spans="1:6" ht="29">
      <c r="A29" s="240" t="s">
        <v>47</v>
      </c>
      <c r="B29" s="231" t="s">
        <v>48</v>
      </c>
      <c r="C29" s="116" t="s">
        <v>32</v>
      </c>
      <c r="D29" s="116">
        <f>(1.55+5.35+10.46)*0.35*0.05</f>
        <v>0.30380000000000001</v>
      </c>
      <c r="E29" s="117"/>
      <c r="F29" s="181">
        <f>E29*D29</f>
        <v>0</v>
      </c>
    </row>
    <row r="30" spans="1:6" ht="26">
      <c r="A30" s="258" t="s">
        <v>49</v>
      </c>
      <c r="B30" s="107" t="s">
        <v>50</v>
      </c>
      <c r="C30" s="116" t="s">
        <v>32</v>
      </c>
      <c r="D30" s="90">
        <f>(10*0.35*0.35*3)</f>
        <v>3.6749999999999998</v>
      </c>
      <c r="E30" s="117"/>
      <c r="F30" s="181">
        <f>E30*D30</f>
        <v>0</v>
      </c>
    </row>
    <row r="31" spans="1:6">
      <c r="A31" s="259" t="s">
        <v>51</v>
      </c>
      <c r="B31" s="145" t="s">
        <v>52</v>
      </c>
      <c r="C31" s="116"/>
      <c r="D31" s="87"/>
      <c r="E31" s="117"/>
      <c r="F31" s="181"/>
    </row>
    <row r="32" spans="1:6" ht="26">
      <c r="A32" s="258" t="s">
        <v>53</v>
      </c>
      <c r="B32" s="115" t="s">
        <v>54</v>
      </c>
      <c r="C32" s="116" t="s">
        <v>32</v>
      </c>
      <c r="D32" s="87">
        <f>((9.55*2)+(3.35*5))*0.35*0.3</f>
        <v>3.7642499999999997</v>
      </c>
      <c r="E32" s="117"/>
      <c r="F32" s="181">
        <f>E32*D32</f>
        <v>0</v>
      </c>
    </row>
    <row r="33" spans="1:6" ht="26">
      <c r="A33" s="258" t="s">
        <v>55</v>
      </c>
      <c r="B33" s="115" t="s">
        <v>56</v>
      </c>
      <c r="C33" s="116" t="s">
        <v>32</v>
      </c>
      <c r="D33" s="87">
        <f>((9.55*2)+(3.35*5))*0.35*0.3</f>
        <v>3.7642499999999997</v>
      </c>
      <c r="E33" s="117"/>
      <c r="F33" s="181">
        <f>E33*D33</f>
        <v>0</v>
      </c>
    </row>
    <row r="34" spans="1:6">
      <c r="A34" s="259" t="s">
        <v>57</v>
      </c>
      <c r="B34" s="118" t="s">
        <v>58</v>
      </c>
      <c r="C34" s="116"/>
      <c r="D34" s="87"/>
      <c r="E34" s="117"/>
      <c r="F34" s="181"/>
    </row>
    <row r="35" spans="1:6">
      <c r="A35" s="260" t="s">
        <v>59</v>
      </c>
      <c r="B35" s="115" t="s">
        <v>60</v>
      </c>
      <c r="C35" s="116" t="s">
        <v>32</v>
      </c>
      <c r="D35" s="87">
        <f>9.55*3.35*0.12</f>
        <v>3.8391000000000002</v>
      </c>
      <c r="E35" s="117"/>
      <c r="F35" s="181">
        <f>E35*D35</f>
        <v>0</v>
      </c>
    </row>
    <row r="36" spans="1:6" ht="39">
      <c r="A36" s="260" t="s">
        <v>61</v>
      </c>
      <c r="B36" s="236" t="s">
        <v>62</v>
      </c>
      <c r="C36" s="139" t="s">
        <v>32</v>
      </c>
      <c r="D36" s="105">
        <f>((10.75*2)+(2.125*1.55))*0.4</f>
        <v>9.9175000000000004</v>
      </c>
      <c r="E36" s="140"/>
      <c r="F36" s="181">
        <f t="shared" ref="F36:F37" si="0">E36*D36</f>
        <v>0</v>
      </c>
    </row>
    <row r="37" spans="1:6" ht="26">
      <c r="A37" s="260" t="s">
        <v>63</v>
      </c>
      <c r="B37" s="236" t="s">
        <v>64</v>
      </c>
      <c r="C37" s="139" t="s">
        <v>14</v>
      </c>
      <c r="D37" s="105">
        <f>((10.75*2)+(2.125*1.55))</f>
        <v>24.793749999999999</v>
      </c>
      <c r="E37" s="140"/>
      <c r="F37" s="181">
        <f t="shared" si="0"/>
        <v>0</v>
      </c>
    </row>
    <row r="38" spans="1:6" ht="26.5" thickBot="1">
      <c r="A38" s="261" t="s">
        <v>65</v>
      </c>
      <c r="B38" s="207" t="s">
        <v>66</v>
      </c>
      <c r="C38" s="139" t="s">
        <v>32</v>
      </c>
      <c r="D38" s="105">
        <f>((10.75*2)+(2.125*1.55))*0.08</f>
        <v>1.9835</v>
      </c>
      <c r="E38" s="140"/>
      <c r="F38" s="191">
        <f>E38*D38</f>
        <v>0</v>
      </c>
    </row>
    <row r="39" spans="1:6" ht="15" thickBot="1">
      <c r="A39" s="262"/>
      <c r="B39" s="40" t="s">
        <v>67</v>
      </c>
      <c r="C39" s="70"/>
      <c r="D39" s="103"/>
      <c r="E39" s="126"/>
      <c r="F39" s="186">
        <f>SUM(F19:F38)</f>
        <v>0</v>
      </c>
    </row>
    <row r="40" spans="1:6" ht="15" thickBot="1">
      <c r="A40" s="263"/>
      <c r="B40" s="127"/>
      <c r="C40" s="128"/>
      <c r="D40" s="129"/>
      <c r="E40" s="130"/>
      <c r="F40" s="206"/>
    </row>
    <row r="41" spans="1:6" ht="15" thickBot="1">
      <c r="A41" s="252" t="s">
        <v>68</v>
      </c>
      <c r="B41" s="18" t="s">
        <v>69</v>
      </c>
      <c r="C41" s="19"/>
      <c r="D41" s="100"/>
      <c r="E41" s="55"/>
      <c r="F41" s="194"/>
    </row>
    <row r="42" spans="1:6">
      <c r="A42" s="258" t="s">
        <v>70</v>
      </c>
      <c r="B42" s="146" t="s">
        <v>71</v>
      </c>
      <c r="C42" s="2"/>
      <c r="D42" s="101"/>
      <c r="E42" s="48"/>
      <c r="F42" s="204"/>
    </row>
    <row r="43" spans="1:6" ht="26">
      <c r="A43" s="258" t="s">
        <v>72</v>
      </c>
      <c r="B43" s="107" t="s">
        <v>73</v>
      </c>
      <c r="C43" s="2" t="s">
        <v>14</v>
      </c>
      <c r="D43" s="57">
        <f>((10.125*3)+(1.5*9)+(2.22*2))*3.1-((1*2.2*3)+(0.8*2.2*4)+(3.45*0.9))</f>
        <v>133.03149999999999</v>
      </c>
      <c r="E43" s="54"/>
      <c r="F43" s="190">
        <f>+E43*D43</f>
        <v>0</v>
      </c>
    </row>
    <row r="44" spans="1:6">
      <c r="A44" s="264" t="s">
        <v>74</v>
      </c>
      <c r="B44" s="145" t="s">
        <v>75</v>
      </c>
      <c r="C44" s="2"/>
      <c r="D44" s="57"/>
      <c r="E44" s="54"/>
      <c r="F44" s="190"/>
    </row>
    <row r="45" spans="1:6" ht="26">
      <c r="A45" s="258" t="s">
        <v>76</v>
      </c>
      <c r="B45" s="107" t="s">
        <v>77</v>
      </c>
      <c r="C45" s="2" t="s">
        <v>27</v>
      </c>
      <c r="D45" s="57">
        <f>((2*0.2*0.4)+(2*0.2*0.6))*2</f>
        <v>0.8</v>
      </c>
      <c r="E45" s="54"/>
      <c r="F45" s="190">
        <f>+E45*D45</f>
        <v>0</v>
      </c>
    </row>
    <row r="46" spans="1:6" ht="26">
      <c r="A46" s="258" t="s">
        <v>78</v>
      </c>
      <c r="B46" s="107" t="s">
        <v>79</v>
      </c>
      <c r="C46" s="2" t="s">
        <v>14</v>
      </c>
      <c r="D46" s="57">
        <v>0</v>
      </c>
      <c r="E46" s="54"/>
      <c r="F46" s="190">
        <f>+E46*D46</f>
        <v>0</v>
      </c>
    </row>
    <row r="47" spans="1:6">
      <c r="A47" s="265" t="s">
        <v>80</v>
      </c>
      <c r="B47" s="145" t="s">
        <v>44</v>
      </c>
      <c r="C47" s="2"/>
      <c r="D47" s="102"/>
      <c r="E47" s="54"/>
      <c r="F47" s="190"/>
    </row>
    <row r="48" spans="1:6">
      <c r="A48" s="265" t="s">
        <v>81</v>
      </c>
      <c r="B48" s="145" t="s">
        <v>82</v>
      </c>
      <c r="C48" s="2"/>
      <c r="D48" s="102"/>
      <c r="E48" s="54"/>
      <c r="F48" s="190"/>
    </row>
    <row r="49" spans="1:6" ht="26">
      <c r="A49" s="258" t="s">
        <v>83</v>
      </c>
      <c r="B49" s="107" t="s">
        <v>84</v>
      </c>
      <c r="C49" s="2" t="s">
        <v>32</v>
      </c>
      <c r="D49" s="102">
        <f>0.15*0.2*3.1*14</f>
        <v>1.302</v>
      </c>
      <c r="E49" s="117"/>
      <c r="F49" s="190">
        <f>+E49*D49</f>
        <v>0</v>
      </c>
    </row>
    <row r="50" spans="1:6">
      <c r="A50" s="265" t="s">
        <v>85</v>
      </c>
      <c r="B50" s="119" t="s">
        <v>86</v>
      </c>
      <c r="C50" s="2"/>
      <c r="D50" s="102"/>
      <c r="E50" s="54"/>
      <c r="F50" s="190"/>
    </row>
    <row r="51" spans="1:6" ht="26">
      <c r="A51" s="258" t="s">
        <v>87</v>
      </c>
      <c r="B51" s="107" t="s">
        <v>88</v>
      </c>
      <c r="C51" s="2" t="s">
        <v>32</v>
      </c>
      <c r="D51" s="57">
        <f>((10.125*3)+(1.5*9)+(2.22*2))*0.2*0.15</f>
        <v>1.4494499999999999</v>
      </c>
      <c r="E51" s="117"/>
      <c r="F51" s="190">
        <f>+E51*D51</f>
        <v>0</v>
      </c>
    </row>
    <row r="52" spans="1:6" ht="26.5" thickBot="1">
      <c r="A52" s="266" t="s">
        <v>89</v>
      </c>
      <c r="B52" s="132" t="s">
        <v>90</v>
      </c>
      <c r="C52" s="61" t="s">
        <v>32</v>
      </c>
      <c r="D52" s="57">
        <f>((10.125*3)+(1.5*9)+(2.22*2))*0.2*0.15</f>
        <v>1.4494499999999999</v>
      </c>
      <c r="E52" s="117"/>
      <c r="F52" s="192">
        <f>+E52*D52</f>
        <v>0</v>
      </c>
    </row>
    <row r="53" spans="1:6" ht="15" thickBot="1">
      <c r="A53" s="267"/>
      <c r="B53" s="158" t="s">
        <v>91</v>
      </c>
      <c r="C53" s="136"/>
      <c r="D53" s="137"/>
      <c r="E53" s="138"/>
      <c r="F53" s="196">
        <f>SUM(F43:F52)</f>
        <v>0</v>
      </c>
    </row>
    <row r="54" spans="1:6" ht="15" thickBot="1">
      <c r="A54" s="268"/>
      <c r="B54" s="159"/>
      <c r="C54" s="131"/>
      <c r="D54" s="102"/>
      <c r="E54" s="52"/>
      <c r="F54" s="205"/>
    </row>
    <row r="55" spans="1:6" ht="15" thickBot="1">
      <c r="A55" s="269" t="s">
        <v>92</v>
      </c>
      <c r="B55" s="15" t="s">
        <v>93</v>
      </c>
      <c r="C55" s="16"/>
      <c r="D55" s="85"/>
      <c r="E55" s="50"/>
      <c r="F55" s="183"/>
    </row>
    <row r="56" spans="1:6">
      <c r="A56" s="270" t="s">
        <v>94</v>
      </c>
      <c r="B56" s="14" t="s">
        <v>95</v>
      </c>
      <c r="C56" s="6"/>
      <c r="D56" s="86"/>
      <c r="E56" s="51"/>
      <c r="F56" s="184"/>
    </row>
    <row r="57" spans="1:6">
      <c r="A57" s="271" t="s">
        <v>96</v>
      </c>
      <c r="B57" s="12" t="s">
        <v>97</v>
      </c>
      <c r="C57" s="2" t="s">
        <v>32</v>
      </c>
      <c r="D57" s="87">
        <f>((6.24*0.15*0.07)+(5.15*0.15*0.07)+(0.95*0.15*0.07)+(2*0.15*0.07)+(0.7*0.15*0.07))*6 + (0.07*0.15*10.95)</f>
        <v>1.062495</v>
      </c>
      <c r="E57" s="49"/>
      <c r="F57" s="182">
        <f>E57*D57</f>
        <v>0</v>
      </c>
    </row>
    <row r="58" spans="1:6">
      <c r="A58" s="271" t="s">
        <v>98</v>
      </c>
      <c r="B58" s="12" t="s">
        <v>99</v>
      </c>
      <c r="C58" s="2" t="s">
        <v>32</v>
      </c>
      <c r="D58" s="87">
        <f>(0.07*0.07*12.45)*8</f>
        <v>0.48804000000000003</v>
      </c>
      <c r="E58" s="49"/>
      <c r="F58" s="182">
        <f>E58*D58</f>
        <v>0</v>
      </c>
    </row>
    <row r="59" spans="1:6" ht="26">
      <c r="A59" s="271" t="s">
        <v>100</v>
      </c>
      <c r="B59" s="12" t="s">
        <v>101</v>
      </c>
      <c r="C59" s="2" t="s">
        <v>14</v>
      </c>
      <c r="D59" s="87">
        <f>(6.24*12.45)</f>
        <v>77.688000000000002</v>
      </c>
      <c r="E59" s="49"/>
      <c r="F59" s="182">
        <f>E59*D59</f>
        <v>0</v>
      </c>
    </row>
    <row r="60" spans="1:6" ht="15" thickBot="1">
      <c r="A60" s="272" t="s">
        <v>102</v>
      </c>
      <c r="B60" s="64" t="s">
        <v>103</v>
      </c>
      <c r="C60" s="61" t="s">
        <v>104</v>
      </c>
      <c r="D60" s="105">
        <f>(12.45*2)+(6.24*2)</f>
        <v>37.379999999999995</v>
      </c>
      <c r="E60" s="58"/>
      <c r="F60" s="188">
        <f>E60*D60</f>
        <v>0</v>
      </c>
    </row>
    <row r="61" spans="1:6" ht="15" thickBot="1">
      <c r="A61" s="262"/>
      <c r="B61" s="135" t="s">
        <v>105</v>
      </c>
      <c r="C61" s="70"/>
      <c r="D61" s="103"/>
      <c r="E61" s="126"/>
      <c r="F61" s="186">
        <f>SUM(F57:F60)</f>
        <v>0</v>
      </c>
    </row>
    <row r="62" spans="1:6" ht="15" thickBot="1">
      <c r="A62" s="263"/>
      <c r="B62" s="127"/>
      <c r="C62" s="128"/>
      <c r="D62" s="129"/>
      <c r="E62" s="130"/>
      <c r="F62" s="206"/>
    </row>
    <row r="63" spans="1:6" ht="15" thickBot="1">
      <c r="A63" s="273">
        <v>3</v>
      </c>
      <c r="B63" s="30" t="s">
        <v>106</v>
      </c>
      <c r="C63" s="26"/>
      <c r="D63" s="81"/>
      <c r="E63" s="45"/>
      <c r="F63" s="185"/>
    </row>
    <row r="64" spans="1:6" ht="15" thickBot="1">
      <c r="A64" s="274" t="s">
        <v>107</v>
      </c>
      <c r="B64" s="36" t="s">
        <v>108</v>
      </c>
      <c r="C64" s="37"/>
      <c r="D64" s="100"/>
      <c r="E64" s="55"/>
      <c r="F64" s="194"/>
    </row>
    <row r="65" spans="1:6">
      <c r="A65" s="275" t="s">
        <v>109</v>
      </c>
      <c r="B65" s="35" t="s">
        <v>110</v>
      </c>
      <c r="C65" s="32"/>
      <c r="D65" s="101"/>
      <c r="E65" s="48"/>
      <c r="F65" s="204"/>
    </row>
    <row r="66" spans="1:6">
      <c r="A66" s="276" t="s">
        <v>111</v>
      </c>
      <c r="B66" s="230" t="s">
        <v>112</v>
      </c>
      <c r="C66" s="32"/>
      <c r="D66" s="101"/>
      <c r="E66" s="48"/>
      <c r="F66" s="204"/>
    </row>
    <row r="67" spans="1:6">
      <c r="A67" s="277" t="s">
        <v>113</v>
      </c>
      <c r="B67" s="232" t="s">
        <v>114</v>
      </c>
      <c r="C67" s="32" t="s">
        <v>115</v>
      </c>
      <c r="D67" s="101">
        <v>2</v>
      </c>
      <c r="E67" s="48"/>
      <c r="F67" s="182">
        <f>E67*D67</f>
        <v>0</v>
      </c>
    </row>
    <row r="68" spans="1:6">
      <c r="A68" s="278" t="s">
        <v>116</v>
      </c>
      <c r="B68" s="230" t="s">
        <v>117</v>
      </c>
      <c r="C68" s="32"/>
      <c r="D68" s="229"/>
      <c r="E68" s="48"/>
      <c r="F68" s="204"/>
    </row>
    <row r="69" spans="1:6" ht="26">
      <c r="A69" s="279" t="s">
        <v>118</v>
      </c>
      <c r="B69" s="64" t="s">
        <v>119</v>
      </c>
      <c r="C69" s="61" t="s">
        <v>115</v>
      </c>
      <c r="D69" s="105">
        <v>1</v>
      </c>
      <c r="E69" s="58"/>
      <c r="F69" s="188">
        <f>E69*D69</f>
        <v>0</v>
      </c>
    </row>
    <row r="70" spans="1:6" ht="26">
      <c r="A70" s="280" t="s">
        <v>120</v>
      </c>
      <c r="B70" s="12" t="s">
        <v>121</v>
      </c>
      <c r="C70" s="2" t="s">
        <v>115</v>
      </c>
      <c r="D70" s="87">
        <v>6</v>
      </c>
      <c r="E70" s="52"/>
      <c r="F70" s="182">
        <f>E70*D70</f>
        <v>0</v>
      </c>
    </row>
    <row r="71" spans="1:6">
      <c r="A71" s="281" t="s">
        <v>122</v>
      </c>
      <c r="B71" s="235" t="s">
        <v>123</v>
      </c>
      <c r="C71" s="32"/>
      <c r="D71" s="90"/>
      <c r="E71" s="38"/>
      <c r="F71" s="187"/>
    </row>
    <row r="72" spans="1:6" ht="15" thickBot="1">
      <c r="A72" s="280" t="s">
        <v>124</v>
      </c>
      <c r="B72" s="12" t="s">
        <v>125</v>
      </c>
      <c r="C72" s="201" t="s">
        <v>115</v>
      </c>
      <c r="D72" s="202">
        <v>1</v>
      </c>
      <c r="E72" s="3"/>
      <c r="F72" s="182">
        <f>E72*D72</f>
        <v>0</v>
      </c>
    </row>
    <row r="73" spans="1:6" ht="15" thickBot="1">
      <c r="A73" s="262"/>
      <c r="B73" s="135" t="s">
        <v>126</v>
      </c>
      <c r="C73" s="70"/>
      <c r="D73" s="103"/>
      <c r="E73" s="126"/>
      <c r="F73" s="186">
        <f>SUM(F67:F72)</f>
        <v>0</v>
      </c>
    </row>
    <row r="74" spans="1:6" ht="15" thickBot="1">
      <c r="A74" s="263"/>
      <c r="B74" s="127"/>
      <c r="C74" s="131"/>
      <c r="D74" s="102"/>
      <c r="E74" s="52"/>
      <c r="F74" s="205"/>
    </row>
    <row r="75" spans="1:6" ht="15" thickBot="1">
      <c r="A75" s="269" t="s">
        <v>127</v>
      </c>
      <c r="B75" s="15" t="s">
        <v>128</v>
      </c>
      <c r="C75" s="31"/>
      <c r="D75" s="100"/>
      <c r="E75" s="55"/>
      <c r="F75" s="194"/>
    </row>
    <row r="76" spans="1:6" ht="26">
      <c r="A76" s="280" t="s">
        <v>129</v>
      </c>
      <c r="B76" s="12" t="s">
        <v>130</v>
      </c>
      <c r="C76" s="2" t="s">
        <v>14</v>
      </c>
      <c r="D76" s="57">
        <f>(((10.125*3)+(1.5*9)+(2.22*2))*3.1-((1*2.2*3)+(0.8*2.2*4)+(3.45*0.9))+(1.5*7*3))-77.4</f>
        <v>87.131499999999988</v>
      </c>
      <c r="E76" s="48"/>
      <c r="F76" s="190">
        <f t="shared" ref="F76:F81" si="1">+E76*D76</f>
        <v>0</v>
      </c>
    </row>
    <row r="77" spans="1:6" ht="26">
      <c r="A77" s="280" t="s">
        <v>131</v>
      </c>
      <c r="B77" s="12" t="s">
        <v>132</v>
      </c>
      <c r="C77" s="2" t="s">
        <v>14</v>
      </c>
      <c r="D77" s="57">
        <f>((9.55*2)+(3.35*2))*3</f>
        <v>77.400000000000006</v>
      </c>
      <c r="E77" s="48"/>
      <c r="F77" s="190">
        <f t="shared" si="1"/>
        <v>0</v>
      </c>
    </row>
    <row r="78" spans="1:6" ht="26">
      <c r="A78" s="280" t="s">
        <v>133</v>
      </c>
      <c r="B78" s="12" t="s">
        <v>134</v>
      </c>
      <c r="C78" s="2" t="s">
        <v>14</v>
      </c>
      <c r="D78" s="101">
        <f>((14*3*0.2)+(10.22*2)+(4.15*2))*0.2</f>
        <v>7.4280000000000008</v>
      </c>
      <c r="E78" s="48"/>
      <c r="F78" s="203">
        <f t="shared" si="1"/>
        <v>0</v>
      </c>
    </row>
    <row r="79" spans="1:6" ht="26">
      <c r="A79" s="280" t="s">
        <v>135</v>
      </c>
      <c r="B79" s="12" t="s">
        <v>136</v>
      </c>
      <c r="C79" s="2" t="s">
        <v>14</v>
      </c>
      <c r="D79" s="101">
        <f>(10.22*2)+(4.15*2)*1</f>
        <v>28.740000000000002</v>
      </c>
      <c r="E79" s="48"/>
      <c r="F79" s="190">
        <f t="shared" si="1"/>
        <v>0</v>
      </c>
    </row>
    <row r="80" spans="1:6" ht="26">
      <c r="A80" s="280" t="s">
        <v>137</v>
      </c>
      <c r="B80" s="12" t="s">
        <v>138</v>
      </c>
      <c r="C80" s="2" t="s">
        <v>14</v>
      </c>
      <c r="D80" s="57">
        <v>78.599999999999994</v>
      </c>
      <c r="E80" s="49"/>
      <c r="F80" s="190">
        <f t="shared" si="1"/>
        <v>0</v>
      </c>
    </row>
    <row r="81" spans="1:6" ht="26.5" thickBot="1">
      <c r="A81" s="280" t="s">
        <v>139</v>
      </c>
      <c r="B81" s="12" t="s">
        <v>140</v>
      </c>
      <c r="C81" s="2" t="s">
        <v>14</v>
      </c>
      <c r="D81" s="57">
        <f>10.95*4.15</f>
        <v>45.442500000000003</v>
      </c>
      <c r="E81" s="49"/>
      <c r="F81" s="190">
        <f t="shared" si="1"/>
        <v>0</v>
      </c>
    </row>
    <row r="82" spans="1:6" ht="15" thickBot="1">
      <c r="A82" s="262"/>
      <c r="B82" s="135" t="s">
        <v>141</v>
      </c>
      <c r="C82" s="70" t="s">
        <v>142</v>
      </c>
      <c r="D82" s="103"/>
      <c r="E82" s="126"/>
      <c r="F82" s="186">
        <f>SUM(F76:F81)</f>
        <v>0</v>
      </c>
    </row>
    <row r="83" spans="1:6" ht="15" thickBot="1">
      <c r="A83" s="263"/>
      <c r="B83" s="127"/>
      <c r="C83" s="131"/>
      <c r="D83" s="102"/>
      <c r="E83" s="52"/>
      <c r="F83" s="205"/>
    </row>
    <row r="84" spans="1:6" ht="15" thickBot="1">
      <c r="A84" s="269" t="s">
        <v>143</v>
      </c>
      <c r="B84" s="125" t="s">
        <v>144</v>
      </c>
      <c r="C84" s="16"/>
      <c r="D84" s="85"/>
      <c r="E84" s="56"/>
      <c r="F84" s="193"/>
    </row>
    <row r="85" spans="1:6" ht="26">
      <c r="A85" s="239" t="s">
        <v>145</v>
      </c>
      <c r="B85" s="34" t="s">
        <v>146</v>
      </c>
      <c r="C85" s="144" t="s">
        <v>104</v>
      </c>
      <c r="D85" s="90">
        <v>12.45</v>
      </c>
      <c r="E85" s="52"/>
      <c r="F85" s="190">
        <f>+E85*D85</f>
        <v>0</v>
      </c>
    </row>
    <row r="86" spans="1:6">
      <c r="A86" s="239" t="s">
        <v>147</v>
      </c>
      <c r="B86" s="33" t="s">
        <v>148</v>
      </c>
      <c r="C86" s="106" t="s">
        <v>104</v>
      </c>
      <c r="D86" s="87">
        <v>6</v>
      </c>
      <c r="E86" s="52"/>
      <c r="F86" s="190">
        <f>+E86*D86</f>
        <v>0</v>
      </c>
    </row>
    <row r="87" spans="1:6" ht="26">
      <c r="A87" s="239" t="s">
        <v>149</v>
      </c>
      <c r="B87" s="34" t="s">
        <v>150</v>
      </c>
      <c r="C87" s="144" t="s">
        <v>151</v>
      </c>
      <c r="D87" s="90">
        <v>1</v>
      </c>
      <c r="E87" s="38"/>
      <c r="F87" s="195">
        <f t="shared" ref="F87" si="2">+E87*D87</f>
        <v>0</v>
      </c>
    </row>
    <row r="88" spans="1:6">
      <c r="A88" s="239" t="s">
        <v>152</v>
      </c>
      <c r="B88" s="34" t="s">
        <v>153</v>
      </c>
      <c r="C88" s="144" t="s">
        <v>115</v>
      </c>
      <c r="D88" s="90">
        <v>5</v>
      </c>
      <c r="E88" s="52"/>
      <c r="F88" s="190">
        <f>+E88*D88</f>
        <v>0</v>
      </c>
    </row>
    <row r="89" spans="1:6">
      <c r="A89" s="239" t="s">
        <v>154</v>
      </c>
      <c r="B89" s="176" t="s">
        <v>155</v>
      </c>
      <c r="C89" s="106"/>
      <c r="D89" s="87"/>
      <c r="E89" s="52"/>
      <c r="F89" s="190"/>
    </row>
    <row r="90" spans="1:6">
      <c r="A90" s="282" t="s">
        <v>156</v>
      </c>
      <c r="B90" s="233" t="s">
        <v>157</v>
      </c>
      <c r="C90" s="161" t="s">
        <v>9</v>
      </c>
      <c r="D90" s="91">
        <v>1</v>
      </c>
      <c r="E90" s="52"/>
      <c r="F90" s="190">
        <f t="shared" ref="F90:F92" si="3">+E90*D90</f>
        <v>0</v>
      </c>
    </row>
    <row r="91" spans="1:6" ht="26">
      <c r="A91" s="240" t="s">
        <v>158</v>
      </c>
      <c r="B91" s="234" t="s">
        <v>159</v>
      </c>
      <c r="C91" s="161" t="s">
        <v>115</v>
      </c>
      <c r="D91" s="91">
        <v>1</v>
      </c>
      <c r="E91" s="49"/>
      <c r="F91" s="190">
        <f t="shared" si="3"/>
        <v>0</v>
      </c>
    </row>
    <row r="92" spans="1:6">
      <c r="A92" s="241" t="s">
        <v>160</v>
      </c>
      <c r="B92" s="234" t="s">
        <v>161</v>
      </c>
      <c r="C92" s="143" t="s">
        <v>115</v>
      </c>
      <c r="D92" s="160">
        <v>1</v>
      </c>
      <c r="E92" s="73"/>
      <c r="F92" s="190">
        <f t="shared" si="3"/>
        <v>0</v>
      </c>
    </row>
    <row r="93" spans="1:6">
      <c r="A93" s="241" t="s">
        <v>162</v>
      </c>
      <c r="B93" s="33" t="s">
        <v>163</v>
      </c>
      <c r="C93" s="143" t="s">
        <v>115</v>
      </c>
      <c r="D93" s="160">
        <v>6</v>
      </c>
      <c r="E93" s="73"/>
      <c r="F93" s="190">
        <f>+E93*D93</f>
        <v>0</v>
      </c>
    </row>
    <row r="94" spans="1:6">
      <c r="A94" s="241" t="s">
        <v>164</v>
      </c>
      <c r="B94" s="33" t="s">
        <v>165</v>
      </c>
      <c r="C94" s="161" t="s">
        <v>115</v>
      </c>
      <c r="D94" s="91">
        <v>1</v>
      </c>
      <c r="E94" s="49"/>
      <c r="F94" s="192">
        <f>+E94*D94</f>
        <v>0</v>
      </c>
    </row>
    <row r="95" spans="1:6" ht="26">
      <c r="A95" s="241" t="s">
        <v>166</v>
      </c>
      <c r="B95" s="133" t="s">
        <v>167</v>
      </c>
      <c r="C95" s="161" t="s">
        <v>115</v>
      </c>
      <c r="D95" s="92">
        <v>5</v>
      </c>
      <c r="E95" s="58"/>
      <c r="F95" s="192">
        <f t="shared" ref="F95:F97" si="4">+E95*D95</f>
        <v>0</v>
      </c>
    </row>
    <row r="96" spans="1:6" ht="26">
      <c r="A96" s="241" t="s">
        <v>168</v>
      </c>
      <c r="B96" s="133" t="s">
        <v>169</v>
      </c>
      <c r="C96" s="162" t="s">
        <v>151</v>
      </c>
      <c r="D96" s="92">
        <v>1</v>
      </c>
      <c r="E96" s="58"/>
      <c r="F96" s="192">
        <f t="shared" si="4"/>
        <v>0</v>
      </c>
    </row>
    <row r="97" spans="1:6" ht="26">
      <c r="A97" s="241" t="s">
        <v>170</v>
      </c>
      <c r="B97" s="133" t="s">
        <v>171</v>
      </c>
      <c r="C97" s="162" t="s">
        <v>151</v>
      </c>
      <c r="D97" s="92">
        <v>1</v>
      </c>
      <c r="E97" s="58"/>
      <c r="F97" s="192">
        <f t="shared" si="4"/>
        <v>0</v>
      </c>
    </row>
    <row r="98" spans="1:6" ht="26">
      <c r="A98" s="241" t="s">
        <v>172</v>
      </c>
      <c r="B98" s="33" t="s">
        <v>173</v>
      </c>
      <c r="C98" s="161" t="s">
        <v>104</v>
      </c>
      <c r="D98" s="91">
        <v>30</v>
      </c>
      <c r="E98" s="49"/>
      <c r="F98" s="190">
        <f>+E98*D98</f>
        <v>0</v>
      </c>
    </row>
    <row r="99" spans="1:6" ht="15" thickBot="1">
      <c r="A99" s="239"/>
      <c r="B99" s="34"/>
      <c r="C99" s="144"/>
      <c r="D99" s="90"/>
      <c r="E99" s="38"/>
      <c r="F99" s="195"/>
    </row>
    <row r="100" spans="1:6" ht="15" thickBot="1">
      <c r="A100" s="262"/>
      <c r="B100" s="134" t="s">
        <v>174</v>
      </c>
      <c r="C100" s="70"/>
      <c r="D100" s="103"/>
      <c r="E100" s="71"/>
      <c r="F100" s="196">
        <f>SUM(F85:F99)</f>
        <v>0</v>
      </c>
    </row>
    <row r="101" spans="1:6" ht="15" thickBot="1">
      <c r="A101" s="283"/>
      <c r="B101" s="123"/>
      <c r="C101" s="74"/>
      <c r="D101" s="89"/>
      <c r="E101" s="63"/>
      <c r="F101" s="189"/>
    </row>
    <row r="102" spans="1:6" ht="15" thickBot="1">
      <c r="A102" s="269" t="s">
        <v>175</v>
      </c>
      <c r="B102" s="15" t="s">
        <v>176</v>
      </c>
      <c r="C102" s="16"/>
      <c r="D102" s="85"/>
      <c r="E102" s="50"/>
      <c r="F102" s="183"/>
    </row>
    <row r="103" spans="1:6" ht="26">
      <c r="A103" s="284" t="s">
        <v>177</v>
      </c>
      <c r="B103" s="17" t="s">
        <v>178</v>
      </c>
      <c r="C103" s="32" t="s">
        <v>14</v>
      </c>
      <c r="D103" s="90">
        <v>36.159999999999997</v>
      </c>
      <c r="E103" s="48"/>
      <c r="F103" s="187">
        <f>E103*D103</f>
        <v>0</v>
      </c>
    </row>
    <row r="104" spans="1:6" ht="26">
      <c r="A104" s="280" t="s">
        <v>179</v>
      </c>
      <c r="B104" s="12" t="s">
        <v>180</v>
      </c>
      <c r="C104" s="61" t="s">
        <v>14</v>
      </c>
      <c r="D104" s="101">
        <f>(10.22*2)+(4.15*2)*2.1</f>
        <v>37.870000000000005</v>
      </c>
      <c r="E104" s="58"/>
      <c r="F104" s="182">
        <f>E104*D104</f>
        <v>0</v>
      </c>
    </row>
    <row r="105" spans="1:6" ht="26">
      <c r="A105" s="285"/>
      <c r="B105" s="62" t="s">
        <v>181</v>
      </c>
      <c r="C105" s="65"/>
      <c r="D105" s="88"/>
      <c r="E105" s="66"/>
      <c r="F105" s="197">
        <f>SUM(F103:F104)</f>
        <v>0</v>
      </c>
    </row>
    <row r="106" spans="1:6" ht="15" thickBot="1">
      <c r="A106" s="286"/>
      <c r="B106" s="72"/>
      <c r="C106" s="20"/>
      <c r="D106" s="104"/>
      <c r="E106" s="44"/>
      <c r="F106" s="198"/>
    </row>
    <row r="107" spans="1:6" ht="15" thickBot="1">
      <c r="A107" s="287"/>
      <c r="B107" s="122" t="s">
        <v>182</v>
      </c>
      <c r="C107" s="11"/>
      <c r="D107" s="80"/>
      <c r="E107" s="60"/>
      <c r="F107" s="228">
        <f>SUM(F19:F105)/2</f>
        <v>0</v>
      </c>
    </row>
    <row r="108" spans="1:6" ht="15" thickBot="1">
      <c r="A108" s="288"/>
      <c r="B108" s="141"/>
      <c r="C108" s="209"/>
      <c r="D108" s="84"/>
      <c r="E108" s="210"/>
      <c r="F108" s="200"/>
    </row>
    <row r="109" spans="1:6" ht="15" thickBot="1">
      <c r="A109" s="496" t="s">
        <v>183</v>
      </c>
      <c r="B109" s="497"/>
      <c r="C109" s="497"/>
      <c r="D109" s="497"/>
      <c r="E109" s="497"/>
      <c r="F109" s="498"/>
    </row>
    <row r="110" spans="1:6" ht="15" thickBot="1">
      <c r="A110" s="251">
        <v>2</v>
      </c>
      <c r="B110" s="121" t="s">
        <v>18</v>
      </c>
      <c r="C110" s="25"/>
      <c r="D110" s="84"/>
      <c r="E110" s="13"/>
      <c r="F110" s="179"/>
    </row>
    <row r="111" spans="1:6" ht="15" thickBot="1">
      <c r="A111" s="252" t="s">
        <v>19</v>
      </c>
      <c r="B111" s="29" t="s">
        <v>20</v>
      </c>
      <c r="C111" s="19"/>
      <c r="D111" s="82"/>
      <c r="E111" s="46"/>
      <c r="F111" s="174"/>
    </row>
    <row r="112" spans="1:6">
      <c r="A112" s="253" t="s">
        <v>21</v>
      </c>
      <c r="B112" s="211" t="s">
        <v>22</v>
      </c>
      <c r="C112" s="28"/>
      <c r="D112" s="83"/>
      <c r="E112" s="47"/>
      <c r="F112" s="180"/>
    </row>
    <row r="113" spans="1:6">
      <c r="A113" s="253" t="s">
        <v>23</v>
      </c>
      <c r="B113" s="27" t="s">
        <v>24</v>
      </c>
      <c r="C113" s="28"/>
      <c r="D113" s="83"/>
      <c r="E113" s="47"/>
      <c r="F113" s="180"/>
    </row>
    <row r="114" spans="1:6">
      <c r="A114" s="254" t="s">
        <v>25</v>
      </c>
      <c r="B114" s="147" t="s">
        <v>26</v>
      </c>
      <c r="C114" s="32" t="s">
        <v>27</v>
      </c>
      <c r="D114" s="116">
        <f>(1.55+5.35+10.46)*0.35*1</f>
        <v>6.0759999999999996</v>
      </c>
      <c r="E114" s="47"/>
      <c r="F114" s="181">
        <f>E114*D114</f>
        <v>0</v>
      </c>
    </row>
    <row r="115" spans="1:6" ht="26">
      <c r="A115" s="253" t="s">
        <v>28</v>
      </c>
      <c r="B115" s="27" t="s">
        <v>29</v>
      </c>
      <c r="C115" s="28"/>
      <c r="D115" s="83"/>
      <c r="E115" s="47"/>
      <c r="F115" s="180"/>
    </row>
    <row r="116" spans="1:6">
      <c r="A116" s="255" t="s">
        <v>30</v>
      </c>
      <c r="B116" s="115" t="s">
        <v>31</v>
      </c>
      <c r="C116" s="116" t="s">
        <v>32</v>
      </c>
      <c r="D116" s="87">
        <f>9.55*3.35*3</f>
        <v>95.977500000000006</v>
      </c>
      <c r="E116" s="117"/>
      <c r="F116" s="181">
        <f>E116*D116</f>
        <v>0</v>
      </c>
    </row>
    <row r="117" spans="1:6">
      <c r="A117" s="256" t="s">
        <v>33</v>
      </c>
      <c r="B117" s="118" t="s">
        <v>34</v>
      </c>
      <c r="C117" s="116"/>
      <c r="D117" s="87"/>
      <c r="E117" s="117"/>
      <c r="F117" s="181"/>
    </row>
    <row r="118" spans="1:6">
      <c r="A118" s="255" t="s">
        <v>35</v>
      </c>
      <c r="B118" s="115" t="s">
        <v>36</v>
      </c>
      <c r="C118" s="116" t="s">
        <v>32</v>
      </c>
      <c r="D118" s="116">
        <f>(1.55+5.35+10.46)*0.35*0.05</f>
        <v>0.30380000000000001</v>
      </c>
      <c r="E118" s="117"/>
      <c r="F118" s="181">
        <f>E118*D118</f>
        <v>0</v>
      </c>
    </row>
    <row r="119" spans="1:6" ht="26">
      <c r="A119" s="255" t="s">
        <v>37</v>
      </c>
      <c r="B119" s="118" t="s">
        <v>38</v>
      </c>
      <c r="C119" s="116"/>
      <c r="D119" s="87"/>
      <c r="E119" s="117"/>
      <c r="F119" s="181"/>
    </row>
    <row r="120" spans="1:6" ht="26">
      <c r="A120" s="255" t="s">
        <v>39</v>
      </c>
      <c r="B120" s="145" t="s">
        <v>40</v>
      </c>
      <c r="C120" s="116" t="s">
        <v>32</v>
      </c>
      <c r="D120" s="116">
        <f>(1.55+5.35+10.46)*0.35*0.95</f>
        <v>5.7721999999999998</v>
      </c>
      <c r="E120" s="117"/>
      <c r="F120" s="181">
        <f>E120*D120</f>
        <v>0</v>
      </c>
    </row>
    <row r="121" spans="1:6" ht="26">
      <c r="A121" s="255" t="s">
        <v>41</v>
      </c>
      <c r="B121" s="115" t="s">
        <v>42</v>
      </c>
      <c r="C121" s="116" t="s">
        <v>32</v>
      </c>
      <c r="D121" s="87">
        <f>((9.55*2)+(3.35*3))*0.35*3</f>
        <v>30.607500000000002</v>
      </c>
      <c r="E121" s="117"/>
      <c r="F121" s="181">
        <f>E121*D121</f>
        <v>0</v>
      </c>
    </row>
    <row r="122" spans="1:6">
      <c r="A122" s="257" t="s">
        <v>43</v>
      </c>
      <c r="B122" s="119" t="s">
        <v>44</v>
      </c>
      <c r="C122" s="116"/>
      <c r="D122" s="87"/>
      <c r="E122" s="117"/>
      <c r="F122" s="181"/>
    </row>
    <row r="123" spans="1:6" ht="26">
      <c r="A123" s="255" t="s">
        <v>45</v>
      </c>
      <c r="B123" s="115" t="s">
        <v>46</v>
      </c>
      <c r="C123" s="116" t="s">
        <v>32</v>
      </c>
      <c r="D123" s="87">
        <f>0.35*0.35*0.95*6</f>
        <v>0.69824999999999982</v>
      </c>
      <c r="E123" s="117"/>
      <c r="F123" s="181">
        <f>E123*D123</f>
        <v>0</v>
      </c>
    </row>
    <row r="124" spans="1:6" ht="29">
      <c r="A124" s="240" t="s">
        <v>47</v>
      </c>
      <c r="B124" s="231" t="s">
        <v>48</v>
      </c>
      <c r="C124" s="116" t="s">
        <v>32</v>
      </c>
      <c r="D124" s="116">
        <f>(1.55+5.35+10.46)*0.35*0.05</f>
        <v>0.30380000000000001</v>
      </c>
      <c r="E124" s="117"/>
      <c r="F124" s="181">
        <f>E124*D124</f>
        <v>0</v>
      </c>
    </row>
    <row r="125" spans="1:6" ht="26">
      <c r="A125" s="258" t="s">
        <v>49</v>
      </c>
      <c r="B125" s="107" t="s">
        <v>50</v>
      </c>
      <c r="C125" s="116" t="s">
        <v>32</v>
      </c>
      <c r="D125" s="90">
        <f>(10*0.35*0.35*3)</f>
        <v>3.6749999999999998</v>
      </c>
      <c r="E125" s="117"/>
      <c r="F125" s="181">
        <f>E125*D125</f>
        <v>0</v>
      </c>
    </row>
    <row r="126" spans="1:6">
      <c r="A126" s="259" t="s">
        <v>51</v>
      </c>
      <c r="B126" s="145" t="s">
        <v>52</v>
      </c>
      <c r="C126" s="116"/>
      <c r="D126" s="87"/>
      <c r="E126" s="117"/>
      <c r="F126" s="181"/>
    </row>
    <row r="127" spans="1:6" ht="26">
      <c r="A127" s="258" t="s">
        <v>53</v>
      </c>
      <c r="B127" s="115" t="s">
        <v>54</v>
      </c>
      <c r="C127" s="116" t="s">
        <v>32</v>
      </c>
      <c r="D127" s="87">
        <f>((9.55*2)+(3.35*5))*0.35*0.3</f>
        <v>3.7642499999999997</v>
      </c>
      <c r="E127" s="117"/>
      <c r="F127" s="181">
        <f>E127*D127</f>
        <v>0</v>
      </c>
    </row>
    <row r="128" spans="1:6" ht="26">
      <c r="A128" s="258" t="s">
        <v>55</v>
      </c>
      <c r="B128" s="115" t="s">
        <v>56</v>
      </c>
      <c r="C128" s="116" t="s">
        <v>32</v>
      </c>
      <c r="D128" s="87">
        <f>((9.55*2)+(3.35*5))*0.35*0.3</f>
        <v>3.7642499999999997</v>
      </c>
      <c r="E128" s="117"/>
      <c r="F128" s="181">
        <f>E128*D128</f>
        <v>0</v>
      </c>
    </row>
    <row r="129" spans="1:6">
      <c r="A129" s="259" t="s">
        <v>57</v>
      </c>
      <c r="B129" s="118" t="s">
        <v>58</v>
      </c>
      <c r="C129" s="116"/>
      <c r="D129" s="87"/>
      <c r="E129" s="117"/>
      <c r="F129" s="181"/>
    </row>
    <row r="130" spans="1:6">
      <c r="A130" s="260" t="s">
        <v>59</v>
      </c>
      <c r="B130" s="115" t="s">
        <v>60</v>
      </c>
      <c r="C130" s="116" t="s">
        <v>32</v>
      </c>
      <c r="D130" s="87">
        <f>9.55*3.35*0.12</f>
        <v>3.8391000000000002</v>
      </c>
      <c r="E130" s="117"/>
      <c r="F130" s="181">
        <f>E130*D130</f>
        <v>0</v>
      </c>
    </row>
    <row r="131" spans="1:6" ht="26">
      <c r="A131" s="261" t="s">
        <v>61</v>
      </c>
      <c r="B131" s="115" t="s">
        <v>184</v>
      </c>
      <c r="C131" s="139"/>
      <c r="D131" s="105"/>
      <c r="E131" s="140"/>
      <c r="F131" s="191"/>
    </row>
    <row r="132" spans="1:6" ht="26">
      <c r="A132" s="261" t="s">
        <v>63</v>
      </c>
      <c r="B132" s="236" t="s">
        <v>185</v>
      </c>
      <c r="C132" s="139"/>
      <c r="D132" s="105"/>
      <c r="E132" s="140"/>
      <c r="F132" s="191"/>
    </row>
    <row r="133" spans="1:6" ht="26.5" thickBot="1">
      <c r="A133" s="261" t="s">
        <v>65</v>
      </c>
      <c r="B133" s="207" t="s">
        <v>66</v>
      </c>
      <c r="C133" s="139" t="s">
        <v>32</v>
      </c>
      <c r="D133" s="105">
        <f>((10.75*2)+(2.125*1.55))*0.08</f>
        <v>1.9835</v>
      </c>
      <c r="E133" s="140"/>
      <c r="F133" s="191">
        <f>E133*D133</f>
        <v>0</v>
      </c>
    </row>
    <row r="134" spans="1:6" ht="39.5" thickBot="1">
      <c r="A134" s="262"/>
      <c r="B134" s="40" t="s">
        <v>67</v>
      </c>
      <c r="C134" s="70"/>
      <c r="D134" s="103"/>
      <c r="E134" s="126"/>
      <c r="F134" s="186">
        <f>SUM(F114:F133)</f>
        <v>0</v>
      </c>
    </row>
    <row r="135" spans="1:6" ht="15" thickBot="1">
      <c r="A135" s="263"/>
      <c r="B135" s="127"/>
      <c r="C135" s="128"/>
      <c r="D135" s="129"/>
      <c r="E135" s="130"/>
      <c r="F135" s="206"/>
    </row>
    <row r="136" spans="1:6" ht="15" thickBot="1">
      <c r="A136" s="252" t="s">
        <v>68</v>
      </c>
      <c r="B136" s="18" t="s">
        <v>69</v>
      </c>
      <c r="C136" s="19"/>
      <c r="D136" s="100"/>
      <c r="E136" s="55"/>
      <c r="F136" s="194"/>
    </row>
    <row r="137" spans="1:6">
      <c r="A137" s="258" t="s">
        <v>70</v>
      </c>
      <c r="B137" s="146" t="s">
        <v>71</v>
      </c>
      <c r="C137" s="2"/>
      <c r="D137" s="101"/>
      <c r="E137" s="48"/>
      <c r="F137" s="204"/>
    </row>
    <row r="138" spans="1:6" ht="26">
      <c r="A138" s="258" t="s">
        <v>72</v>
      </c>
      <c r="B138" s="107" t="s">
        <v>73</v>
      </c>
      <c r="C138" s="2" t="s">
        <v>14</v>
      </c>
      <c r="D138" s="57">
        <f>((10.125*3)+(1.5*9)+(2.22*2))*3.1-((1*2.2*3)+(0.8*2.2*4)+(3.45*0.9))</f>
        <v>133.03149999999999</v>
      </c>
      <c r="E138" s="54"/>
      <c r="F138" s="190">
        <f>+E138*D138</f>
        <v>0</v>
      </c>
    </row>
    <row r="139" spans="1:6">
      <c r="A139" s="264" t="s">
        <v>74</v>
      </c>
      <c r="B139" s="145" t="s">
        <v>75</v>
      </c>
      <c r="C139" s="2"/>
      <c r="D139" s="57"/>
      <c r="E139" s="54"/>
      <c r="F139" s="190"/>
    </row>
    <row r="140" spans="1:6" ht="26">
      <c r="A140" s="258" t="s">
        <v>76</v>
      </c>
      <c r="B140" s="107" t="s">
        <v>186</v>
      </c>
      <c r="C140" s="2" t="s">
        <v>27</v>
      </c>
      <c r="D140" s="57">
        <f>((2*0.2*0.4)+(2*0.2*0.6))*2</f>
        <v>0.8</v>
      </c>
      <c r="E140" s="54"/>
      <c r="F140" s="190"/>
    </row>
    <row r="141" spans="1:6" ht="26">
      <c r="A141" s="258" t="s">
        <v>78</v>
      </c>
      <c r="B141" s="107" t="s">
        <v>79</v>
      </c>
      <c r="C141" s="2" t="s">
        <v>14</v>
      </c>
      <c r="D141" s="57">
        <v>0</v>
      </c>
      <c r="E141" s="54"/>
      <c r="F141" s="190">
        <f>+E141*D141</f>
        <v>0</v>
      </c>
    </row>
    <row r="142" spans="1:6">
      <c r="A142" s="265" t="s">
        <v>80</v>
      </c>
      <c r="B142" s="145" t="s">
        <v>44</v>
      </c>
      <c r="C142" s="2"/>
      <c r="D142" s="102"/>
      <c r="E142" s="54"/>
      <c r="F142" s="190"/>
    </row>
    <row r="143" spans="1:6">
      <c r="A143" s="265" t="s">
        <v>81</v>
      </c>
      <c r="B143" s="145" t="s">
        <v>82</v>
      </c>
      <c r="C143" s="2"/>
      <c r="D143" s="102"/>
      <c r="E143" s="54"/>
      <c r="F143" s="190"/>
    </row>
    <row r="144" spans="1:6" ht="26">
      <c r="A144" s="258" t="s">
        <v>83</v>
      </c>
      <c r="B144" s="107" t="s">
        <v>84</v>
      </c>
      <c r="C144" s="2" t="s">
        <v>32</v>
      </c>
      <c r="D144" s="102">
        <f>0.15*0.2*3.1*14</f>
        <v>1.302</v>
      </c>
      <c r="E144" s="117"/>
      <c r="F144" s="190">
        <f>+E144*D144</f>
        <v>0</v>
      </c>
    </row>
    <row r="145" spans="1:6">
      <c r="A145" s="265" t="s">
        <v>85</v>
      </c>
      <c r="B145" s="119" t="s">
        <v>86</v>
      </c>
      <c r="C145" s="2"/>
      <c r="D145" s="102"/>
      <c r="E145" s="54"/>
      <c r="F145" s="190"/>
    </row>
    <row r="146" spans="1:6" ht="26">
      <c r="A146" s="258" t="s">
        <v>87</v>
      </c>
      <c r="B146" s="107" t="s">
        <v>88</v>
      </c>
      <c r="C146" s="2" t="s">
        <v>32</v>
      </c>
      <c r="D146" s="57">
        <f>((10.125*3)+(1.5*9)+(2.22*2))*0.2*0.15</f>
        <v>1.4494499999999999</v>
      </c>
      <c r="E146" s="117"/>
      <c r="F146" s="190">
        <f>+E146*D146</f>
        <v>0</v>
      </c>
    </row>
    <row r="147" spans="1:6" ht="26.5" thickBot="1">
      <c r="A147" s="266" t="s">
        <v>89</v>
      </c>
      <c r="B147" s="132" t="s">
        <v>90</v>
      </c>
      <c r="C147" s="61" t="s">
        <v>32</v>
      </c>
      <c r="D147" s="57">
        <f>((10.125*3)+(1.5*9)+(2.22*2))*0.2*0.15</f>
        <v>1.4494499999999999</v>
      </c>
      <c r="E147" s="117"/>
      <c r="F147" s="192">
        <f>+E147*D147</f>
        <v>0</v>
      </c>
    </row>
    <row r="148" spans="1:6" ht="15" thickBot="1">
      <c r="A148" s="267"/>
      <c r="B148" s="158" t="s">
        <v>91</v>
      </c>
      <c r="C148" s="136"/>
      <c r="D148" s="137"/>
      <c r="E148" s="138"/>
      <c r="F148" s="196">
        <f>SUM(F138:F147)</f>
        <v>0</v>
      </c>
    </row>
    <row r="149" spans="1:6" ht="15" thickBot="1">
      <c r="A149" s="268"/>
      <c r="B149" s="159"/>
      <c r="C149" s="131"/>
      <c r="D149" s="102"/>
      <c r="E149" s="52"/>
      <c r="F149" s="205"/>
    </row>
    <row r="150" spans="1:6" ht="15" thickBot="1">
      <c r="A150" s="269" t="s">
        <v>92</v>
      </c>
      <c r="B150" s="15" t="s">
        <v>93</v>
      </c>
      <c r="C150" s="16"/>
      <c r="D150" s="85"/>
      <c r="E150" s="50"/>
      <c r="F150" s="183"/>
    </row>
    <row r="151" spans="1:6">
      <c r="A151" s="265" t="s">
        <v>94</v>
      </c>
      <c r="B151" s="119" t="s">
        <v>187</v>
      </c>
      <c r="C151" s="2"/>
      <c r="D151" s="102"/>
      <c r="E151" s="54"/>
      <c r="F151" s="190"/>
    </row>
    <row r="152" spans="1:6">
      <c r="A152" s="270" t="s">
        <v>96</v>
      </c>
      <c r="B152" s="12" t="s">
        <v>188</v>
      </c>
      <c r="C152" s="2" t="s">
        <v>32</v>
      </c>
      <c r="D152" s="87">
        <f>((6.24*0.15*0.07)+(5.15*0.15*0.07)+(0.95*0.15*0.07)+(2*0.15*0.07)+(0.7*0.15*0.07))*6 + (0.07*0.15*10.95)</f>
        <v>1.062495</v>
      </c>
      <c r="E152" s="49"/>
      <c r="F152" s="182">
        <f>E152*D152</f>
        <v>0</v>
      </c>
    </row>
    <row r="153" spans="1:6">
      <c r="A153" s="270" t="s">
        <v>98</v>
      </c>
      <c r="B153" s="12" t="s">
        <v>99</v>
      </c>
      <c r="C153" s="2" t="s">
        <v>32</v>
      </c>
      <c r="D153" s="87">
        <f>(0.07*0.07*12.45)*8</f>
        <v>0.48804000000000003</v>
      </c>
      <c r="E153" s="49"/>
      <c r="F153" s="182">
        <f>E153*D153</f>
        <v>0</v>
      </c>
    </row>
    <row r="154" spans="1:6" ht="26">
      <c r="A154" s="270" t="s">
        <v>100</v>
      </c>
      <c r="B154" s="12" t="s">
        <v>101</v>
      </c>
      <c r="C154" s="2" t="s">
        <v>14</v>
      </c>
      <c r="D154" s="87">
        <f>(6.24*12.45)</f>
        <v>77.688000000000002</v>
      </c>
      <c r="E154" s="49"/>
      <c r="F154" s="182">
        <f>E154*D154</f>
        <v>0</v>
      </c>
    </row>
    <row r="155" spans="1:6" ht="52.5" thickBot="1">
      <c r="A155" s="270" t="s">
        <v>102</v>
      </c>
      <c r="B155" s="64" t="s">
        <v>103</v>
      </c>
      <c r="C155" s="61" t="s">
        <v>104</v>
      </c>
      <c r="D155" s="105">
        <f>(12.45*2)+(6.24*2)</f>
        <v>37.379999999999995</v>
      </c>
      <c r="E155" s="58"/>
      <c r="F155" s="188">
        <f>E155*D155</f>
        <v>0</v>
      </c>
    </row>
    <row r="156" spans="1:6" ht="26.5" thickBot="1">
      <c r="A156" s="262"/>
      <c r="B156" s="135" t="s">
        <v>105</v>
      </c>
      <c r="C156" s="70"/>
      <c r="D156" s="103"/>
      <c r="E156" s="126"/>
      <c r="F156" s="186">
        <f>SUM(F152:F155)</f>
        <v>0</v>
      </c>
    </row>
    <row r="157" spans="1:6" ht="26.5" thickBot="1">
      <c r="A157" s="273">
        <v>3</v>
      </c>
      <c r="B157" s="30" t="s">
        <v>106</v>
      </c>
      <c r="C157" s="26"/>
      <c r="D157" s="81"/>
      <c r="E157" s="45"/>
      <c r="F157" s="185"/>
    </row>
    <row r="158" spans="1:6" ht="15" thickBot="1">
      <c r="A158" s="274" t="s">
        <v>107</v>
      </c>
      <c r="B158" s="36" t="s">
        <v>108</v>
      </c>
      <c r="C158" s="37"/>
      <c r="D158" s="100"/>
      <c r="E158" s="55"/>
      <c r="F158" s="194"/>
    </row>
    <row r="159" spans="1:6">
      <c r="A159" s="275" t="s">
        <v>109</v>
      </c>
      <c r="B159" s="35" t="s">
        <v>110</v>
      </c>
      <c r="C159" s="32"/>
      <c r="D159" s="101"/>
      <c r="E159" s="48"/>
      <c r="F159" s="204"/>
    </row>
    <row r="160" spans="1:6">
      <c r="A160" s="276" t="s">
        <v>111</v>
      </c>
      <c r="B160" s="230" t="s">
        <v>112</v>
      </c>
      <c r="C160" s="32"/>
      <c r="D160" s="101"/>
      <c r="E160" s="48"/>
      <c r="F160" s="204"/>
    </row>
    <row r="161" spans="1:6">
      <c r="A161" s="275" t="s">
        <v>113</v>
      </c>
      <c r="B161" s="232" t="s">
        <v>114</v>
      </c>
      <c r="C161" s="32" t="s">
        <v>115</v>
      </c>
      <c r="D161" s="101">
        <v>2</v>
      </c>
      <c r="E161" s="48"/>
      <c r="F161" s="182">
        <f>E161*D161</f>
        <v>0</v>
      </c>
    </row>
    <row r="162" spans="1:6">
      <c r="A162" s="276" t="s">
        <v>116</v>
      </c>
      <c r="B162" s="230" t="s">
        <v>117</v>
      </c>
      <c r="C162" s="32"/>
      <c r="D162" s="101"/>
      <c r="E162" s="48"/>
      <c r="F162" s="204"/>
    </row>
    <row r="163" spans="1:6" ht="26">
      <c r="A163" s="275" t="s">
        <v>118</v>
      </c>
      <c r="B163" s="64" t="s">
        <v>119</v>
      </c>
      <c r="C163" s="61" t="s">
        <v>115</v>
      </c>
      <c r="D163" s="105">
        <v>1</v>
      </c>
      <c r="E163" s="58"/>
      <c r="F163" s="182">
        <f>E163*D163</f>
        <v>0</v>
      </c>
    </row>
    <row r="164" spans="1:6" ht="26">
      <c r="A164" s="275" t="s">
        <v>120</v>
      </c>
      <c r="B164" s="12" t="s">
        <v>121</v>
      </c>
      <c r="C164" s="2" t="s">
        <v>115</v>
      </c>
      <c r="D164" s="87">
        <v>8</v>
      </c>
      <c r="E164" s="52"/>
      <c r="F164" s="182">
        <f>E164*D164</f>
        <v>0</v>
      </c>
    </row>
    <row r="165" spans="1:6">
      <c r="A165" s="276" t="s">
        <v>189</v>
      </c>
      <c r="B165" s="230" t="s">
        <v>190</v>
      </c>
      <c r="C165" s="32"/>
      <c r="D165" s="101"/>
      <c r="E165" s="48"/>
      <c r="F165" s="204"/>
    </row>
    <row r="166" spans="1:6" ht="15" thickBot="1">
      <c r="A166" s="276" t="s">
        <v>191</v>
      </c>
      <c r="B166" s="12" t="s">
        <v>192</v>
      </c>
      <c r="C166" s="201" t="s">
        <v>115</v>
      </c>
      <c r="D166" s="202">
        <v>1</v>
      </c>
      <c r="E166" s="3"/>
      <c r="F166" s="182">
        <f>E166*D166</f>
        <v>0</v>
      </c>
    </row>
    <row r="167" spans="1:6" ht="15" thickBot="1">
      <c r="A167" s="262"/>
      <c r="B167" s="135" t="s">
        <v>126</v>
      </c>
      <c r="C167" s="70"/>
      <c r="D167" s="103"/>
      <c r="E167" s="126"/>
      <c r="F167" s="186">
        <f>SUM(F161:F166)</f>
        <v>0</v>
      </c>
    </row>
    <row r="168" spans="1:6" ht="15" thickBot="1">
      <c r="A168" s="263"/>
      <c r="B168" s="127"/>
      <c r="C168" s="131"/>
      <c r="D168" s="102"/>
      <c r="E168" s="52"/>
      <c r="F168" s="205"/>
    </row>
    <row r="169" spans="1:6" ht="15" thickBot="1">
      <c r="A169" s="269" t="s">
        <v>127</v>
      </c>
      <c r="B169" s="15" t="s">
        <v>193</v>
      </c>
      <c r="C169" s="31"/>
      <c r="D169" s="100"/>
      <c r="E169" s="55"/>
      <c r="F169" s="194"/>
    </row>
    <row r="170" spans="1:6" ht="26">
      <c r="A170" s="280" t="s">
        <v>129</v>
      </c>
      <c r="B170" s="12" t="s">
        <v>130</v>
      </c>
      <c r="C170" s="2" t="s">
        <v>14</v>
      </c>
      <c r="D170" s="57">
        <f>(((10.125*3)+(1.5*9)+(2.22*2))*3.1-((1*2.2*3)+(0.8*2.2*4)+(3.45*0.9))+(1.5*7*3))-77.4</f>
        <v>87.131499999999988</v>
      </c>
      <c r="E170" s="48"/>
      <c r="F170" s="190">
        <f t="shared" ref="F170:F175" si="5">+E170*D170</f>
        <v>0</v>
      </c>
    </row>
    <row r="171" spans="1:6" ht="26">
      <c r="A171" s="280" t="s">
        <v>131</v>
      </c>
      <c r="B171" s="12" t="s">
        <v>132</v>
      </c>
      <c r="C171" s="2" t="s">
        <v>14</v>
      </c>
      <c r="D171" s="57">
        <v>77.400000000000006</v>
      </c>
      <c r="E171" s="48"/>
      <c r="F171" s="190">
        <f t="shared" si="5"/>
        <v>0</v>
      </c>
    </row>
    <row r="172" spans="1:6" ht="26">
      <c r="A172" s="280" t="s">
        <v>133</v>
      </c>
      <c r="B172" s="12" t="s">
        <v>134</v>
      </c>
      <c r="C172" s="2" t="s">
        <v>14</v>
      </c>
      <c r="D172" s="101">
        <f>((14*3*0.2)+(10.22*2)+(4.15*2))*0.2</f>
        <v>7.4280000000000008</v>
      </c>
      <c r="E172" s="48"/>
      <c r="F172" s="203">
        <f t="shared" si="5"/>
        <v>0</v>
      </c>
    </row>
    <row r="173" spans="1:6" ht="26">
      <c r="A173" s="280" t="s">
        <v>135</v>
      </c>
      <c r="B173" s="12" t="s">
        <v>136</v>
      </c>
      <c r="C173" s="2" t="s">
        <v>14</v>
      </c>
      <c r="D173" s="101">
        <f>(10.22*2)+(4.15*2)*1</f>
        <v>28.740000000000002</v>
      </c>
      <c r="E173" s="48"/>
      <c r="F173" s="190">
        <f t="shared" si="5"/>
        <v>0</v>
      </c>
    </row>
    <row r="174" spans="1:6" ht="26">
      <c r="A174" s="280" t="s">
        <v>137</v>
      </c>
      <c r="B174" s="12" t="s">
        <v>138</v>
      </c>
      <c r="C174" s="2" t="s">
        <v>14</v>
      </c>
      <c r="D174" s="57">
        <v>78.599999999999994</v>
      </c>
      <c r="E174" s="49"/>
      <c r="F174" s="190">
        <f t="shared" si="5"/>
        <v>0</v>
      </c>
    </row>
    <row r="175" spans="1:6" ht="26.5" thickBot="1">
      <c r="A175" s="280" t="s">
        <v>139</v>
      </c>
      <c r="B175" s="12" t="s">
        <v>140</v>
      </c>
      <c r="C175" s="2" t="s">
        <v>14</v>
      </c>
      <c r="D175" s="57">
        <f>10.95*4.15</f>
        <v>45.442500000000003</v>
      </c>
      <c r="E175" s="49"/>
      <c r="F175" s="190">
        <f t="shared" si="5"/>
        <v>0</v>
      </c>
    </row>
    <row r="176" spans="1:6" ht="15" thickBot="1">
      <c r="A176" s="262"/>
      <c r="B176" s="135" t="s">
        <v>141</v>
      </c>
      <c r="C176" s="70" t="s">
        <v>142</v>
      </c>
      <c r="D176" s="103"/>
      <c r="E176" s="126"/>
      <c r="F176" s="186">
        <f>SUM(F170:F175)</f>
        <v>0</v>
      </c>
    </row>
    <row r="177" spans="1:6" ht="15" thickBot="1">
      <c r="A177" s="289"/>
      <c r="B177" s="124"/>
      <c r="C177" s="25"/>
      <c r="D177" s="84"/>
      <c r="E177" s="13"/>
      <c r="F177" s="179"/>
    </row>
    <row r="178" spans="1:6" ht="15" thickBot="1">
      <c r="A178" s="269" t="s">
        <v>143</v>
      </c>
      <c r="B178" s="125" t="s">
        <v>144</v>
      </c>
      <c r="C178" s="16"/>
      <c r="D178" s="85"/>
      <c r="E178" s="56"/>
      <c r="F178" s="193"/>
    </row>
    <row r="179" spans="1:6" ht="26">
      <c r="A179" s="239" t="s">
        <v>145</v>
      </c>
      <c r="B179" s="34" t="s">
        <v>146</v>
      </c>
      <c r="C179" s="144" t="s">
        <v>104</v>
      </c>
      <c r="D179" s="90">
        <v>12.45</v>
      </c>
      <c r="E179" s="52"/>
      <c r="F179" s="190">
        <f>+E179*D179</f>
        <v>0</v>
      </c>
    </row>
    <row r="180" spans="1:6" ht="26">
      <c r="A180" s="239" t="s">
        <v>147</v>
      </c>
      <c r="B180" s="33" t="s">
        <v>148</v>
      </c>
      <c r="C180" s="106" t="s">
        <v>104</v>
      </c>
      <c r="D180" s="87">
        <v>6</v>
      </c>
      <c r="E180" s="52"/>
      <c r="F180" s="190">
        <f>+E180*D180</f>
        <v>0</v>
      </c>
    </row>
    <row r="181" spans="1:6" ht="26">
      <c r="A181" s="239" t="s">
        <v>149</v>
      </c>
      <c r="B181" s="34" t="s">
        <v>150</v>
      </c>
      <c r="C181" s="144" t="s">
        <v>151</v>
      </c>
      <c r="D181" s="90">
        <v>1</v>
      </c>
      <c r="E181" s="38"/>
      <c r="F181" s="195">
        <f t="shared" ref="F181" si="6">+E181*D181</f>
        <v>0</v>
      </c>
    </row>
    <row r="182" spans="1:6">
      <c r="A182" s="239" t="s">
        <v>152</v>
      </c>
      <c r="B182" s="34" t="s">
        <v>153</v>
      </c>
      <c r="C182" s="144" t="s">
        <v>115</v>
      </c>
      <c r="D182" s="90">
        <v>5</v>
      </c>
      <c r="E182" s="52"/>
      <c r="F182" s="190">
        <f>+E182*D182</f>
        <v>0</v>
      </c>
    </row>
    <row r="183" spans="1:6" ht="26">
      <c r="A183" s="239" t="s">
        <v>154</v>
      </c>
      <c r="B183" s="34" t="s">
        <v>155</v>
      </c>
      <c r="C183" s="106"/>
      <c r="D183" s="87"/>
      <c r="E183" s="52"/>
      <c r="F183" s="190"/>
    </row>
    <row r="184" spans="1:6" ht="26">
      <c r="A184" s="240" t="s">
        <v>156</v>
      </c>
      <c r="B184" s="34" t="s">
        <v>157</v>
      </c>
      <c r="C184" s="161" t="s">
        <v>9</v>
      </c>
      <c r="D184" s="91">
        <v>1</v>
      </c>
      <c r="E184" s="52"/>
      <c r="F184" s="190">
        <f t="shared" ref="F184:F185" si="7">+E184*D184</f>
        <v>0</v>
      </c>
    </row>
    <row r="185" spans="1:6" ht="26">
      <c r="A185" s="240" t="s">
        <v>158</v>
      </c>
      <c r="B185" s="234" t="s">
        <v>159</v>
      </c>
      <c r="C185" s="161" t="s">
        <v>115</v>
      </c>
      <c r="D185" s="91">
        <v>1</v>
      </c>
      <c r="E185" s="49"/>
      <c r="F185" s="190">
        <f t="shared" si="7"/>
        <v>0</v>
      </c>
    </row>
    <row r="186" spans="1:6">
      <c r="A186" s="240" t="s">
        <v>160</v>
      </c>
      <c r="B186" s="234" t="s">
        <v>161</v>
      </c>
      <c r="C186" s="143" t="s">
        <v>115</v>
      </c>
      <c r="D186" s="160"/>
      <c r="E186" s="73"/>
      <c r="F186" s="190"/>
    </row>
    <row r="187" spans="1:6">
      <c r="A187" s="241" t="s">
        <v>162</v>
      </c>
      <c r="B187" s="33" t="s">
        <v>163</v>
      </c>
      <c r="C187" s="143" t="s">
        <v>115</v>
      </c>
      <c r="D187" s="160">
        <v>6</v>
      </c>
      <c r="E187" s="73"/>
      <c r="F187" s="190">
        <f>+E187*D187</f>
        <v>0</v>
      </c>
    </row>
    <row r="188" spans="1:6">
      <c r="A188" s="241" t="s">
        <v>164</v>
      </c>
      <c r="B188" s="33" t="s">
        <v>165</v>
      </c>
      <c r="C188" s="161" t="s">
        <v>115</v>
      </c>
      <c r="D188" s="91">
        <v>1</v>
      </c>
      <c r="E188" s="49"/>
      <c r="F188" s="192">
        <f>+E188*D188</f>
        <v>0</v>
      </c>
    </row>
    <row r="189" spans="1:6">
      <c r="A189" s="242" t="s">
        <v>166</v>
      </c>
      <c r="B189" s="133" t="s">
        <v>167</v>
      </c>
      <c r="C189" s="161" t="s">
        <v>115</v>
      </c>
      <c r="D189" s="92">
        <v>0</v>
      </c>
      <c r="E189" s="58"/>
      <c r="F189" s="192">
        <f t="shared" ref="F189:F191" si="8">+E189*D189</f>
        <v>0</v>
      </c>
    </row>
    <row r="190" spans="1:6" ht="26">
      <c r="A190" s="242" t="s">
        <v>168</v>
      </c>
      <c r="B190" s="133" t="s">
        <v>169</v>
      </c>
      <c r="C190" s="162" t="s">
        <v>151</v>
      </c>
      <c r="D190" s="92">
        <v>1</v>
      </c>
      <c r="E190" s="58"/>
      <c r="F190" s="192">
        <f t="shared" si="8"/>
        <v>0</v>
      </c>
    </row>
    <row r="191" spans="1:6" ht="26">
      <c r="A191" s="242" t="s">
        <v>170</v>
      </c>
      <c r="B191" s="133" t="s">
        <v>171</v>
      </c>
      <c r="C191" s="162" t="s">
        <v>151</v>
      </c>
      <c r="D191" s="92">
        <v>1</v>
      </c>
      <c r="E191" s="58"/>
      <c r="F191" s="192">
        <f t="shared" si="8"/>
        <v>0</v>
      </c>
    </row>
    <row r="192" spans="1:6" ht="26">
      <c r="A192" s="241" t="s">
        <v>172</v>
      </c>
      <c r="B192" s="33" t="s">
        <v>173</v>
      </c>
      <c r="C192" s="161" t="s">
        <v>104</v>
      </c>
      <c r="D192" s="91">
        <v>30</v>
      </c>
      <c r="E192" s="49"/>
      <c r="F192" s="190">
        <f>+E192*D192</f>
        <v>0</v>
      </c>
    </row>
    <row r="193" spans="1:6" ht="15" thickBot="1">
      <c r="A193" s="239"/>
      <c r="B193" s="34"/>
      <c r="C193" s="144"/>
      <c r="D193" s="90"/>
      <c r="E193" s="38"/>
      <c r="F193" s="195"/>
    </row>
    <row r="194" spans="1:6" ht="15" thickBot="1">
      <c r="A194" s="262"/>
      <c r="B194" s="134" t="s">
        <v>174</v>
      </c>
      <c r="C194" s="70"/>
      <c r="D194" s="103"/>
      <c r="E194" s="71"/>
      <c r="F194" s="196">
        <f>SUM(F179:F193)</f>
        <v>0</v>
      </c>
    </row>
    <row r="195" spans="1:6" ht="15" thickBot="1">
      <c r="A195" s="283"/>
      <c r="B195" s="123"/>
      <c r="C195" s="74"/>
      <c r="D195" s="89"/>
      <c r="E195" s="63"/>
      <c r="F195" s="189"/>
    </row>
    <row r="196" spans="1:6" ht="15" thickBot="1">
      <c r="A196" s="269" t="s">
        <v>175</v>
      </c>
      <c r="B196" s="15" t="s">
        <v>176</v>
      </c>
      <c r="C196" s="16"/>
      <c r="D196" s="85"/>
      <c r="E196" s="50"/>
      <c r="F196" s="183"/>
    </row>
    <row r="197" spans="1:6" ht="26">
      <c r="A197" s="284" t="s">
        <v>177</v>
      </c>
      <c r="B197" s="17" t="s">
        <v>178</v>
      </c>
      <c r="C197" s="32" t="s">
        <v>14</v>
      </c>
      <c r="D197" s="90">
        <v>36.159999999999997</v>
      </c>
      <c r="E197" s="48"/>
      <c r="F197" s="187">
        <f>E197*D197</f>
        <v>0</v>
      </c>
    </row>
    <row r="198" spans="1:6" ht="26">
      <c r="A198" s="280" t="s">
        <v>179</v>
      </c>
      <c r="B198" s="12" t="s">
        <v>180</v>
      </c>
      <c r="C198" s="61" t="s">
        <v>14</v>
      </c>
      <c r="D198" s="101">
        <f>(10.22*2)+(4.15*2)*2.1</f>
        <v>37.870000000000005</v>
      </c>
      <c r="E198" s="58"/>
      <c r="F198" s="182">
        <f>E198*D198</f>
        <v>0</v>
      </c>
    </row>
    <row r="199" spans="1:6" ht="26">
      <c r="A199" s="285"/>
      <c r="B199" s="62" t="s">
        <v>181</v>
      </c>
      <c r="C199" s="65"/>
      <c r="D199" s="88"/>
      <c r="E199" s="66"/>
      <c r="F199" s="197">
        <f>SUM(F197:F198)</f>
        <v>0</v>
      </c>
    </row>
    <row r="200" spans="1:6" ht="15" thickBot="1">
      <c r="A200" s="286"/>
      <c r="B200" s="72"/>
      <c r="C200" s="20"/>
      <c r="D200" s="104"/>
      <c r="E200" s="44"/>
      <c r="F200" s="198"/>
    </row>
    <row r="201" spans="1:6" ht="15" thickBot="1">
      <c r="A201" s="287"/>
      <c r="B201" s="120" t="s">
        <v>194</v>
      </c>
      <c r="C201" s="11"/>
      <c r="D201" s="80"/>
      <c r="E201" s="60"/>
      <c r="F201" s="228">
        <f>SUM(F112:F200)/2</f>
        <v>0</v>
      </c>
    </row>
    <row r="202" spans="1:6" ht="15" thickBot="1">
      <c r="A202" s="290">
        <v>4</v>
      </c>
      <c r="B202" s="151" t="s">
        <v>195</v>
      </c>
      <c r="C202" s="148"/>
      <c r="D202" s="93"/>
      <c r="E202" s="68"/>
      <c r="F202" s="222"/>
    </row>
    <row r="203" spans="1:6" ht="26.5" thickBot="1">
      <c r="A203" s="291" t="s">
        <v>196</v>
      </c>
      <c r="B203" s="152" t="s">
        <v>197</v>
      </c>
      <c r="C203" s="149"/>
      <c r="D203" s="85"/>
      <c r="E203" s="50"/>
      <c r="F203" s="220"/>
    </row>
    <row r="204" spans="1:6">
      <c r="A204" s="292" t="s">
        <v>198</v>
      </c>
      <c r="B204" s="153" t="s">
        <v>199</v>
      </c>
      <c r="C204" s="156" t="s">
        <v>32</v>
      </c>
      <c r="D204" s="157">
        <f>((33.7*2)+(12.3*2))*0.2*0.15</f>
        <v>2.7600000000000002</v>
      </c>
      <c r="E204" s="130"/>
      <c r="F204" s="223">
        <f t="shared" ref="F204:F214" si="9">E204*D204</f>
        <v>0</v>
      </c>
    </row>
    <row r="205" spans="1:6">
      <c r="A205" s="293" t="s">
        <v>200</v>
      </c>
      <c r="B205" s="154" t="s">
        <v>201</v>
      </c>
      <c r="C205" s="1" t="s">
        <v>32</v>
      </c>
      <c r="D205" s="94">
        <f>((33.7*2)+(12.3*2))*0.05*0.15</f>
        <v>0.69000000000000006</v>
      </c>
      <c r="E205" s="52"/>
      <c r="F205" s="224">
        <f t="shared" si="9"/>
        <v>0</v>
      </c>
    </row>
    <row r="206" spans="1:6">
      <c r="A206" s="293" t="s">
        <v>202</v>
      </c>
      <c r="B206" s="154" t="s">
        <v>203</v>
      </c>
      <c r="C206" s="1" t="s">
        <v>32</v>
      </c>
      <c r="D206" s="94">
        <v>2.1</v>
      </c>
      <c r="E206" s="52"/>
      <c r="F206" s="224">
        <f t="shared" si="9"/>
        <v>0</v>
      </c>
    </row>
    <row r="207" spans="1:6">
      <c r="A207" s="293" t="s">
        <v>204</v>
      </c>
      <c r="B207" s="154" t="s">
        <v>205</v>
      </c>
      <c r="C207" s="1" t="s">
        <v>32</v>
      </c>
      <c r="D207" s="95">
        <f>((0.8*10.5*2)+(0.8*14.78*2))*0.07</f>
        <v>2.8313600000000001</v>
      </c>
      <c r="E207" s="52"/>
      <c r="F207" s="224">
        <f>E207*D207</f>
        <v>0</v>
      </c>
    </row>
    <row r="208" spans="1:6" ht="26">
      <c r="A208" s="293" t="s">
        <v>206</v>
      </c>
      <c r="B208" s="39" t="s">
        <v>207</v>
      </c>
      <c r="C208" s="1" t="s">
        <v>32</v>
      </c>
      <c r="D208" s="95">
        <f>(2*0.7*0.1)+(1.83*0.7*0.1)+(1.54*0.7*0.1)+(1.7*0.7*0.1*2)</f>
        <v>0.6139</v>
      </c>
      <c r="E208" s="52"/>
      <c r="F208" s="224">
        <f t="shared" si="9"/>
        <v>0</v>
      </c>
    </row>
    <row r="209" spans="1:6" ht="39">
      <c r="A209" s="293" t="s">
        <v>208</v>
      </c>
      <c r="B209" s="39" t="s">
        <v>209</v>
      </c>
      <c r="C209" s="1" t="s">
        <v>104</v>
      </c>
      <c r="D209" s="96">
        <v>33</v>
      </c>
      <c r="E209" s="52"/>
      <c r="F209" s="225">
        <f t="shared" si="9"/>
        <v>0</v>
      </c>
    </row>
    <row r="210" spans="1:6" ht="26">
      <c r="A210" s="293" t="s">
        <v>210</v>
      </c>
      <c r="B210" s="39" t="s">
        <v>211</v>
      </c>
      <c r="C210" s="1" t="s">
        <v>212</v>
      </c>
      <c r="D210" s="96">
        <v>0</v>
      </c>
      <c r="E210" s="52"/>
      <c r="F210" s="225">
        <f t="shared" si="9"/>
        <v>0</v>
      </c>
    </row>
    <row r="211" spans="1:6" ht="26">
      <c r="A211" s="294" t="s">
        <v>213</v>
      </c>
      <c r="B211" s="67" t="s">
        <v>214</v>
      </c>
      <c r="C211" s="1" t="s">
        <v>14</v>
      </c>
      <c r="D211" s="97">
        <v>36</v>
      </c>
      <c r="E211" s="52"/>
      <c r="F211" s="225">
        <f t="shared" si="9"/>
        <v>0</v>
      </c>
    </row>
    <row r="212" spans="1:6" ht="26">
      <c r="A212" s="294" t="s">
        <v>215</v>
      </c>
      <c r="B212" s="67" t="s">
        <v>216</v>
      </c>
      <c r="C212" s="69" t="s">
        <v>32</v>
      </c>
      <c r="D212" s="98">
        <v>1.94</v>
      </c>
      <c r="E212" s="52"/>
      <c r="F212" s="225">
        <f t="shared" si="9"/>
        <v>0</v>
      </c>
    </row>
    <row r="213" spans="1:6">
      <c r="A213" s="293" t="s">
        <v>217</v>
      </c>
      <c r="B213" s="39" t="s">
        <v>218</v>
      </c>
      <c r="C213" s="1" t="s">
        <v>151</v>
      </c>
      <c r="D213" s="102">
        <v>1</v>
      </c>
      <c r="E213" s="52"/>
      <c r="F213" s="224">
        <f t="shared" si="9"/>
        <v>0</v>
      </c>
    </row>
    <row r="214" spans="1:6" ht="15" thickBot="1">
      <c r="A214" s="294" t="s">
        <v>219</v>
      </c>
      <c r="B214" s="142" t="s">
        <v>220</v>
      </c>
      <c r="C214" s="69" t="s">
        <v>212</v>
      </c>
      <c r="D214" s="208">
        <v>5</v>
      </c>
      <c r="E214" s="53"/>
      <c r="F214" s="227">
        <f t="shared" si="9"/>
        <v>0</v>
      </c>
    </row>
    <row r="215" spans="1:6" ht="26.5" thickBot="1">
      <c r="A215" s="295"/>
      <c r="B215" s="40" t="s">
        <v>221</v>
      </c>
      <c r="C215" s="70"/>
      <c r="D215" s="103"/>
      <c r="E215" s="126"/>
      <c r="F215" s="221">
        <f>SUM(F204:F214)</f>
        <v>0</v>
      </c>
    </row>
    <row r="216" spans="1:6" ht="15" thickBot="1">
      <c r="A216" s="296"/>
      <c r="B216" s="155"/>
      <c r="C216" s="150"/>
      <c r="D216" s="99"/>
      <c r="E216" s="3"/>
      <c r="F216" s="226"/>
    </row>
    <row r="217" spans="1:6" ht="15" thickBot="1">
      <c r="A217" s="287">
        <v>4</v>
      </c>
      <c r="B217" s="120" t="s">
        <v>195</v>
      </c>
      <c r="C217" s="59"/>
      <c r="D217" s="80"/>
      <c r="E217" s="60"/>
      <c r="F217" s="228">
        <f>SUM(F204:F215)/2</f>
        <v>0</v>
      </c>
    </row>
    <row r="218" spans="1:6" ht="15" thickBot="1">
      <c r="A218" s="288"/>
      <c r="B218" s="141"/>
      <c r="C218" s="24"/>
      <c r="D218" s="165"/>
      <c r="E218" s="24"/>
      <c r="F218" s="200"/>
    </row>
    <row r="219" spans="1:6" ht="15" thickBot="1">
      <c r="A219" s="484" t="s">
        <v>335</v>
      </c>
      <c r="B219" s="485"/>
      <c r="C219" s="485"/>
      <c r="D219" s="485"/>
      <c r="E219" s="485"/>
      <c r="F219" s="486"/>
    </row>
    <row r="220" spans="1:6" ht="15" thickBot="1">
      <c r="A220" s="297" t="s">
        <v>222</v>
      </c>
      <c r="B220" s="166" t="s">
        <v>223</v>
      </c>
      <c r="C220" s="167"/>
      <c r="D220" s="168"/>
      <c r="E220" s="169"/>
      <c r="F220" s="199" t="s">
        <v>339</v>
      </c>
    </row>
    <row r="221" spans="1:6" ht="15" thickBot="1">
      <c r="A221" s="298">
        <v>0</v>
      </c>
      <c r="B221" s="468" t="s">
        <v>224</v>
      </c>
      <c r="C221" s="469"/>
      <c r="D221" s="469"/>
      <c r="E221" s="470"/>
      <c r="F221" s="212">
        <f>F12</f>
        <v>0</v>
      </c>
    </row>
    <row r="222" spans="1:6" ht="15" thickBot="1">
      <c r="A222" s="298">
        <v>1</v>
      </c>
      <c r="B222" s="468" t="s">
        <v>229</v>
      </c>
      <c r="C222" s="469"/>
      <c r="D222" s="469"/>
      <c r="E222" s="470"/>
      <c r="F222" s="212">
        <f>F107</f>
        <v>0</v>
      </c>
    </row>
    <row r="223" spans="1:6" ht="15" thickBot="1">
      <c r="A223" s="298">
        <v>2</v>
      </c>
      <c r="B223" s="487" t="s">
        <v>228</v>
      </c>
      <c r="C223" s="488"/>
      <c r="D223" s="488"/>
      <c r="E223" s="489"/>
      <c r="F223" s="213">
        <f>F201</f>
        <v>0</v>
      </c>
    </row>
    <row r="224" spans="1:6" ht="15" thickBot="1">
      <c r="A224" s="298">
        <v>4</v>
      </c>
      <c r="B224" s="468" t="str">
        <f>+B202</f>
        <v xml:space="preserve">AMENAGEMENT EXTERIEUR </v>
      </c>
      <c r="C224" s="469"/>
      <c r="D224" s="469"/>
      <c r="E224" s="470"/>
      <c r="F224" s="212">
        <f>+F217</f>
        <v>0</v>
      </c>
    </row>
    <row r="225" spans="1:6" ht="15" thickBot="1">
      <c r="A225" s="299"/>
      <c r="B225" s="170" t="s">
        <v>230</v>
      </c>
      <c r="C225" s="171"/>
      <c r="D225" s="172"/>
      <c r="E225" s="173"/>
      <c r="F225" s="214">
        <f>SUM(F221:F224)</f>
        <v>0</v>
      </c>
    </row>
    <row r="226" spans="1:6">
      <c r="A226" s="432"/>
      <c r="B226" s="433"/>
      <c r="C226" s="434"/>
      <c r="D226" s="435"/>
      <c r="E226" s="436"/>
      <c r="F226" s="437"/>
    </row>
  </sheetData>
  <mergeCells count="9">
    <mergeCell ref="B222:E222"/>
    <mergeCell ref="B223:E223"/>
    <mergeCell ref="B224:E224"/>
    <mergeCell ref="A1:F2"/>
    <mergeCell ref="A13:F13"/>
    <mergeCell ref="A14:F14"/>
    <mergeCell ref="A109:F109"/>
    <mergeCell ref="A219:F219"/>
    <mergeCell ref="B221:E2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1E31-5BF2-4B6C-8BEE-89DD0E4FDAC0}">
  <dimension ref="A1:F146"/>
  <sheetViews>
    <sheetView topLeftCell="A136" workbookViewId="0">
      <selection activeCell="A140" sqref="A140:F141"/>
    </sheetView>
  </sheetViews>
  <sheetFormatPr baseColWidth="10" defaultRowHeight="14.5"/>
  <cols>
    <col min="1" max="1" width="7.26953125" bestFit="1" customWidth="1"/>
    <col min="2" max="2" width="40.7265625" bestFit="1" customWidth="1"/>
    <col min="3" max="3" width="6.26953125" bestFit="1" customWidth="1"/>
    <col min="4" max="4" width="5.81640625" bestFit="1" customWidth="1"/>
    <col min="5" max="5" width="6.36328125" bestFit="1" customWidth="1"/>
    <col min="6" max="6" width="7.08984375" bestFit="1" customWidth="1"/>
  </cols>
  <sheetData>
    <row r="1" spans="1:6">
      <c r="A1" s="480" t="s">
        <v>345</v>
      </c>
      <c r="B1" s="480"/>
      <c r="C1" s="480"/>
      <c r="D1" s="480"/>
      <c r="E1" s="480"/>
      <c r="F1" s="480"/>
    </row>
    <row r="2" spans="1:6">
      <c r="A2" s="480"/>
      <c r="B2" s="480"/>
      <c r="C2" s="480"/>
      <c r="D2" s="480"/>
      <c r="E2" s="480"/>
      <c r="F2" s="480"/>
    </row>
    <row r="3" spans="1:6" ht="15" thickBot="1">
      <c r="A3" s="307"/>
      <c r="B3" s="110"/>
      <c r="C3" s="109"/>
      <c r="D3" s="108"/>
      <c r="E3" s="109"/>
      <c r="F3" s="108"/>
    </row>
    <row r="4" spans="1:6" ht="15" thickBot="1">
      <c r="A4" s="308" t="s">
        <v>0</v>
      </c>
      <c r="B4" s="8" t="s">
        <v>1</v>
      </c>
      <c r="C4" s="7" t="s">
        <v>2</v>
      </c>
      <c r="D4" s="75" t="s">
        <v>3</v>
      </c>
      <c r="E4" s="41" t="s">
        <v>4</v>
      </c>
      <c r="F4" s="163" t="s">
        <v>5</v>
      </c>
    </row>
    <row r="5" spans="1:6" ht="15" thickBot="1">
      <c r="A5" s="309"/>
      <c r="B5" s="24"/>
      <c r="C5" s="25"/>
      <c r="D5" s="76"/>
      <c r="E5" s="13"/>
      <c r="F5" s="177"/>
    </row>
    <row r="6" spans="1:6" ht="15" thickBot="1">
      <c r="A6" s="310">
        <v>0</v>
      </c>
      <c r="B6" s="175" t="s">
        <v>6</v>
      </c>
      <c r="C6" s="111"/>
      <c r="D6" s="112"/>
      <c r="E6" s="113"/>
      <c r="F6" s="178"/>
    </row>
    <row r="7" spans="1:6">
      <c r="A7" s="312" t="s">
        <v>7</v>
      </c>
      <c r="B7" s="21" t="s">
        <v>8</v>
      </c>
      <c r="C7" s="22" t="s">
        <v>9</v>
      </c>
      <c r="D7" s="77">
        <v>1</v>
      </c>
      <c r="E7" s="42"/>
      <c r="F7" s="215">
        <f>E7*D7</f>
        <v>0</v>
      </c>
    </row>
    <row r="8" spans="1:6">
      <c r="A8" s="313"/>
      <c r="B8" s="314" t="s">
        <v>10</v>
      </c>
      <c r="C8" s="4"/>
      <c r="D8" s="78"/>
      <c r="E8" s="43"/>
      <c r="F8" s="216">
        <f>SUM(F7)</f>
        <v>0</v>
      </c>
    </row>
    <row r="9" spans="1:6" ht="15" thickBot="1">
      <c r="A9" s="315"/>
      <c r="B9" s="316"/>
      <c r="C9" s="20"/>
      <c r="D9" s="317"/>
      <c r="E9" s="44"/>
      <c r="F9" s="318"/>
    </row>
    <row r="10" spans="1:6" ht="15" thickBot="1">
      <c r="A10" s="310">
        <v>1</v>
      </c>
      <c r="B10" s="23" t="s">
        <v>11</v>
      </c>
      <c r="C10" s="111"/>
      <c r="D10" s="114"/>
      <c r="E10" s="113"/>
      <c r="F10" s="217"/>
    </row>
    <row r="11" spans="1:6">
      <c r="A11" s="312" t="s">
        <v>12</v>
      </c>
      <c r="B11" s="460" t="s">
        <v>353</v>
      </c>
      <c r="C11" s="22" t="s">
        <v>232</v>
      </c>
      <c r="D11" s="164">
        <v>1</v>
      </c>
      <c r="E11" s="42"/>
      <c r="F11" s="215">
        <f t="shared" ref="F11:F14" si="0">E11*D11</f>
        <v>0</v>
      </c>
    </row>
    <row r="12" spans="1:6" ht="26">
      <c r="A12" s="312" t="s">
        <v>233</v>
      </c>
      <c r="B12" s="21" t="s">
        <v>333</v>
      </c>
      <c r="C12" s="22" t="s">
        <v>232</v>
      </c>
      <c r="D12" s="164">
        <v>1</v>
      </c>
      <c r="E12" s="42"/>
      <c r="F12" s="215">
        <f t="shared" si="0"/>
        <v>0</v>
      </c>
    </row>
    <row r="13" spans="1:6">
      <c r="A13" s="312" t="s">
        <v>234</v>
      </c>
      <c r="B13" s="21" t="s">
        <v>334</v>
      </c>
      <c r="C13" s="22" t="s">
        <v>212</v>
      </c>
      <c r="D13" s="164">
        <v>6</v>
      </c>
      <c r="E13" s="42"/>
      <c r="F13" s="215">
        <f t="shared" si="0"/>
        <v>0</v>
      </c>
    </row>
    <row r="14" spans="1:6">
      <c r="A14" s="312" t="s">
        <v>235</v>
      </c>
      <c r="B14" s="21" t="s">
        <v>340</v>
      </c>
      <c r="C14" s="22" t="s">
        <v>212</v>
      </c>
      <c r="D14" s="164">
        <v>6</v>
      </c>
      <c r="E14" s="42"/>
      <c r="F14" s="215">
        <f t="shared" si="0"/>
        <v>0</v>
      </c>
    </row>
    <row r="15" spans="1:6">
      <c r="A15" s="319"/>
      <c r="B15" s="9" t="s">
        <v>15</v>
      </c>
      <c r="C15" s="4"/>
      <c r="D15" s="79"/>
      <c r="E15" s="43"/>
      <c r="F15" s="218">
        <f>SUM(F11:F14)</f>
        <v>0</v>
      </c>
    </row>
    <row r="16" spans="1:6" ht="15" thickBot="1">
      <c r="A16" s="320"/>
      <c r="B16" s="321"/>
      <c r="C16" s="322"/>
      <c r="D16" s="323"/>
      <c r="E16" s="324"/>
      <c r="F16" s="325"/>
    </row>
    <row r="17" spans="1:6" ht="27" thickBot="1">
      <c r="A17" s="326"/>
      <c r="B17" s="10" t="s">
        <v>16</v>
      </c>
      <c r="C17" s="11"/>
      <c r="D17" s="80"/>
      <c r="E17" s="5"/>
      <c r="F17" s="219">
        <f>SUM(F7:F15)/2</f>
        <v>0</v>
      </c>
    </row>
    <row r="18" spans="1:6" ht="15" thickBot="1">
      <c r="A18" s="471"/>
      <c r="B18" s="472"/>
      <c r="C18" s="472"/>
      <c r="D18" s="472"/>
      <c r="E18" s="472"/>
      <c r="F18" s="473"/>
    </row>
    <row r="19" spans="1:6" ht="15" thickBot="1">
      <c r="A19" s="474" t="s">
        <v>346</v>
      </c>
      <c r="B19" s="475"/>
      <c r="C19" s="475"/>
      <c r="D19" s="475"/>
      <c r="E19" s="475"/>
      <c r="F19" s="476"/>
    </row>
    <row r="20" spans="1:6" ht="15" thickBot="1">
      <c r="A20" s="327">
        <v>2</v>
      </c>
      <c r="B20" s="121" t="s">
        <v>18</v>
      </c>
      <c r="C20" s="25"/>
      <c r="D20" s="84"/>
      <c r="E20" s="13"/>
      <c r="F20" s="179"/>
    </row>
    <row r="21" spans="1:6" ht="15" thickBot="1">
      <c r="A21" s="328" t="s">
        <v>19</v>
      </c>
      <c r="B21" s="29" t="s">
        <v>20</v>
      </c>
      <c r="C21" s="19"/>
      <c r="D21" s="82"/>
      <c r="E21" s="46"/>
      <c r="F21" s="174"/>
    </row>
    <row r="22" spans="1:6">
      <c r="A22" s="329" t="s">
        <v>21</v>
      </c>
      <c r="B22" s="330" t="s">
        <v>22</v>
      </c>
      <c r="C22" s="331"/>
      <c r="D22" s="332"/>
      <c r="E22" s="333"/>
      <c r="F22" s="334"/>
    </row>
    <row r="23" spans="1:6">
      <c r="A23" s="329" t="s">
        <v>23</v>
      </c>
      <c r="B23" s="330" t="s">
        <v>24</v>
      </c>
      <c r="C23" s="28"/>
      <c r="D23" s="83"/>
      <c r="E23" s="47"/>
      <c r="F23" s="180"/>
    </row>
    <row r="24" spans="1:6">
      <c r="A24" s="335" t="s">
        <v>25</v>
      </c>
      <c r="B24" s="461" t="s">
        <v>236</v>
      </c>
      <c r="C24" s="116" t="s">
        <v>32</v>
      </c>
      <c r="D24" s="337">
        <f>65*0.4*0.8</f>
        <v>20.8</v>
      </c>
      <c r="E24" s="117"/>
      <c r="F24" s="338">
        <f>E24*D24</f>
        <v>0</v>
      </c>
    </row>
    <row r="25" spans="1:6">
      <c r="A25" s="339" t="s">
        <v>33</v>
      </c>
      <c r="B25" s="340" t="s">
        <v>34</v>
      </c>
      <c r="C25" s="116"/>
      <c r="D25" s="337"/>
      <c r="E25" s="117"/>
      <c r="F25" s="338"/>
    </row>
    <row r="26" spans="1:6">
      <c r="A26" s="335" t="s">
        <v>35</v>
      </c>
      <c r="B26" s="336" t="s">
        <v>36</v>
      </c>
      <c r="C26" s="116" t="s">
        <v>32</v>
      </c>
      <c r="D26" s="337">
        <f>65*0.4*0.05</f>
        <v>1.3</v>
      </c>
      <c r="E26" s="117"/>
      <c r="F26" s="338">
        <f>E26*D26</f>
        <v>0</v>
      </c>
    </row>
    <row r="27" spans="1:6">
      <c r="A27" s="335" t="s">
        <v>37</v>
      </c>
      <c r="B27" s="340" t="s">
        <v>38</v>
      </c>
      <c r="C27" s="116"/>
      <c r="D27" s="337"/>
      <c r="E27" s="117"/>
      <c r="F27" s="338"/>
    </row>
    <row r="28" spans="1:6" ht="26">
      <c r="A28" s="335" t="s">
        <v>39</v>
      </c>
      <c r="B28" s="336" t="s">
        <v>354</v>
      </c>
      <c r="C28" s="116" t="s">
        <v>32</v>
      </c>
      <c r="D28" s="337">
        <f>65*0.4*0.75</f>
        <v>19.5</v>
      </c>
      <c r="E28" s="117"/>
      <c r="F28" s="338">
        <f>E28*D28</f>
        <v>0</v>
      </c>
    </row>
    <row r="29" spans="1:6">
      <c r="A29" s="335" t="s">
        <v>41</v>
      </c>
      <c r="B29" s="336" t="s">
        <v>355</v>
      </c>
      <c r="C29" s="116" t="s">
        <v>32</v>
      </c>
      <c r="D29" s="337">
        <f>66*0.4*0.4</f>
        <v>10.560000000000002</v>
      </c>
      <c r="E29" s="117"/>
      <c r="F29" s="338">
        <f>E29*D29</f>
        <v>0</v>
      </c>
    </row>
    <row r="30" spans="1:6">
      <c r="A30" s="341" t="s">
        <v>43</v>
      </c>
      <c r="B30" s="342" t="s">
        <v>44</v>
      </c>
      <c r="C30" s="116"/>
      <c r="D30" s="337"/>
      <c r="E30" s="117"/>
      <c r="F30" s="338"/>
    </row>
    <row r="31" spans="1:6" ht="26">
      <c r="A31" s="335" t="s">
        <v>45</v>
      </c>
      <c r="B31" s="343" t="s">
        <v>356</v>
      </c>
      <c r="C31" s="116" t="s">
        <v>32</v>
      </c>
      <c r="D31" s="337">
        <f>18*0.4*0.4*1.2</f>
        <v>3.4560000000000004</v>
      </c>
      <c r="E31" s="117"/>
      <c r="F31" s="338">
        <f>E31*D31</f>
        <v>0</v>
      </c>
    </row>
    <row r="32" spans="1:6" ht="26">
      <c r="A32" s="335" t="s">
        <v>47</v>
      </c>
      <c r="B32" s="343" t="s">
        <v>237</v>
      </c>
      <c r="C32" s="116" t="s">
        <v>32</v>
      </c>
      <c r="D32" s="337">
        <f>65*0.47*0.07</f>
        <v>2.1385000000000001</v>
      </c>
      <c r="E32" s="117"/>
      <c r="F32" s="338">
        <f>E32*D32</f>
        <v>0</v>
      </c>
    </row>
    <row r="33" spans="1:6" ht="26">
      <c r="A33" s="335" t="s">
        <v>61</v>
      </c>
      <c r="B33" s="336" t="s">
        <v>238</v>
      </c>
      <c r="C33" s="116" t="s">
        <v>32</v>
      </c>
      <c r="D33" s="337">
        <f>135*0.4</f>
        <v>54</v>
      </c>
      <c r="E33" s="117"/>
      <c r="F33" s="338">
        <f>E33*D33</f>
        <v>0</v>
      </c>
    </row>
    <row r="34" spans="1:6" ht="26">
      <c r="A34" s="335" t="s">
        <v>63</v>
      </c>
      <c r="B34" s="336" t="s">
        <v>239</v>
      </c>
      <c r="C34" s="116" t="s">
        <v>14</v>
      </c>
      <c r="D34" s="337">
        <v>135</v>
      </c>
      <c r="E34" s="117"/>
      <c r="F34" s="338">
        <f>E34*D34</f>
        <v>0</v>
      </c>
    </row>
    <row r="35" spans="1:6" ht="26.5" thickBot="1">
      <c r="A35" s="344" t="s">
        <v>65</v>
      </c>
      <c r="B35" s="336" t="s">
        <v>66</v>
      </c>
      <c r="C35" s="139" t="s">
        <v>32</v>
      </c>
      <c r="D35" s="345">
        <f>135*0.08</f>
        <v>10.8</v>
      </c>
      <c r="E35" s="140"/>
      <c r="F35" s="346">
        <f>E35*D35</f>
        <v>0</v>
      </c>
    </row>
    <row r="36" spans="1:6" ht="15" thickBot="1">
      <c r="A36" s="347"/>
      <c r="B36" s="134" t="s">
        <v>67</v>
      </c>
      <c r="C36" s="70"/>
      <c r="D36" s="103"/>
      <c r="E36" s="126"/>
      <c r="F36" s="221">
        <f>SUM(F24:F35)</f>
        <v>0</v>
      </c>
    </row>
    <row r="37" spans="1:6" ht="15" thickBot="1">
      <c r="A37" s="348"/>
      <c r="B37" s="124"/>
      <c r="C37" s="349"/>
      <c r="D37" s="350"/>
      <c r="E37" s="351"/>
      <c r="F37" s="352"/>
    </row>
    <row r="38" spans="1:6" ht="15" thickBot="1">
      <c r="A38" s="328" t="s">
        <v>68</v>
      </c>
      <c r="B38" s="18" t="s">
        <v>69</v>
      </c>
      <c r="C38" s="19"/>
      <c r="D38" s="82"/>
      <c r="E38" s="46"/>
      <c r="F38" s="353"/>
    </row>
    <row r="39" spans="1:6">
      <c r="A39" s="354" t="s">
        <v>70</v>
      </c>
      <c r="B39" s="146" t="s">
        <v>71</v>
      </c>
      <c r="C39" s="2"/>
      <c r="D39" s="355"/>
      <c r="E39" s="49"/>
      <c r="F39" s="356"/>
    </row>
    <row r="40" spans="1:6">
      <c r="A40" s="459" t="s">
        <v>72</v>
      </c>
      <c r="B40" s="145" t="s">
        <v>240</v>
      </c>
      <c r="C40" s="2"/>
      <c r="D40" s="355"/>
      <c r="E40" s="49"/>
      <c r="F40" s="356"/>
    </row>
    <row r="41" spans="1:6" ht="26">
      <c r="A41" s="354" t="s">
        <v>241</v>
      </c>
      <c r="B41" s="107" t="s">
        <v>342</v>
      </c>
      <c r="C41" s="2" t="s">
        <v>32</v>
      </c>
      <c r="D41" s="355">
        <f>65*3*0.15</f>
        <v>29.25</v>
      </c>
      <c r="E41" s="49"/>
      <c r="F41" s="356">
        <f>E41*D41</f>
        <v>0</v>
      </c>
    </row>
    <row r="42" spans="1:6">
      <c r="A42" s="354" t="s">
        <v>351</v>
      </c>
      <c r="B42" s="107" t="s">
        <v>242</v>
      </c>
      <c r="C42" s="2" t="s">
        <v>341</v>
      </c>
      <c r="D42" s="355">
        <v>9.3000000000000007</v>
      </c>
      <c r="E42" s="49"/>
      <c r="F42" s="356">
        <v>0</v>
      </c>
    </row>
    <row r="43" spans="1:6">
      <c r="A43" s="357" t="s">
        <v>80</v>
      </c>
      <c r="B43" s="145" t="s">
        <v>44</v>
      </c>
      <c r="C43" s="2"/>
      <c r="D43" s="355"/>
      <c r="E43" s="49"/>
      <c r="F43" s="356"/>
    </row>
    <row r="44" spans="1:6">
      <c r="A44" s="357" t="s">
        <v>81</v>
      </c>
      <c r="B44" s="145" t="s">
        <v>82</v>
      </c>
      <c r="C44" s="2"/>
      <c r="D44" s="355"/>
      <c r="E44" s="49"/>
      <c r="F44" s="356"/>
    </row>
    <row r="45" spans="1:6" ht="26">
      <c r="A45" s="354" t="s">
        <v>83</v>
      </c>
      <c r="B45" s="107" t="s">
        <v>243</v>
      </c>
      <c r="C45" s="2" t="s">
        <v>32</v>
      </c>
      <c r="D45" s="337">
        <f>(18*0.2*0.15*3.4)</f>
        <v>1.8360000000000001</v>
      </c>
      <c r="E45" s="117"/>
      <c r="F45" s="356">
        <f>E45*D45</f>
        <v>0</v>
      </c>
    </row>
    <row r="46" spans="1:6">
      <c r="A46" s="357" t="s">
        <v>85</v>
      </c>
      <c r="B46" s="119" t="s">
        <v>86</v>
      </c>
      <c r="C46" s="2"/>
      <c r="D46" s="355"/>
      <c r="E46" s="49"/>
      <c r="F46" s="356"/>
    </row>
    <row r="47" spans="1:6" ht="26">
      <c r="A47" s="354" t="s">
        <v>87</v>
      </c>
      <c r="B47" s="115" t="s">
        <v>244</v>
      </c>
      <c r="C47" s="2" t="s">
        <v>32</v>
      </c>
      <c r="D47" s="355">
        <f>65*0.2*0.15</f>
        <v>1.95</v>
      </c>
      <c r="E47" s="117"/>
      <c r="F47" s="356">
        <f>E47*D47</f>
        <v>0</v>
      </c>
    </row>
    <row r="48" spans="1:6" ht="26">
      <c r="A48" s="354" t="s">
        <v>89</v>
      </c>
      <c r="B48" s="107" t="s">
        <v>245</v>
      </c>
      <c r="C48" s="2" t="s">
        <v>32</v>
      </c>
      <c r="D48" s="355">
        <f>65*0.2*0.15</f>
        <v>1.95</v>
      </c>
      <c r="E48" s="117"/>
      <c r="F48" s="356">
        <f>E48*D48</f>
        <v>0</v>
      </c>
    </row>
    <row r="49" spans="1:6" ht="26.5" thickBot="1">
      <c r="A49" s="379" t="s">
        <v>246</v>
      </c>
      <c r="B49" s="132" t="s">
        <v>247</v>
      </c>
      <c r="C49" s="61" t="s">
        <v>32</v>
      </c>
      <c r="D49" s="380">
        <f>31*0.3*0.1</f>
        <v>0.92999999999999994</v>
      </c>
      <c r="E49" s="140"/>
      <c r="F49" s="381">
        <f>E49*D49</f>
        <v>0</v>
      </c>
    </row>
    <row r="50" spans="1:6" ht="15" thickBot="1">
      <c r="A50" s="382"/>
      <c r="B50" s="40" t="s">
        <v>248</v>
      </c>
      <c r="C50" s="440"/>
      <c r="D50" s="441"/>
      <c r="E50" s="442"/>
      <c r="F50" s="443">
        <f>SUM(F39:F49)</f>
        <v>0</v>
      </c>
    </row>
    <row r="51" spans="1:6" ht="15" thickBot="1">
      <c r="A51" s="348"/>
      <c r="B51" s="124"/>
      <c r="C51" s="358"/>
      <c r="D51" s="359"/>
      <c r="E51" s="360"/>
      <c r="F51" s="361"/>
    </row>
    <row r="52" spans="1:6" ht="15" thickBot="1">
      <c r="A52" s="362" t="s">
        <v>92</v>
      </c>
      <c r="B52" s="15" t="s">
        <v>93</v>
      </c>
      <c r="C52" s="16"/>
      <c r="D52" s="85"/>
      <c r="E52" s="50"/>
      <c r="F52" s="220"/>
    </row>
    <row r="53" spans="1:6">
      <c r="A53" s="329" t="s">
        <v>94</v>
      </c>
      <c r="B53" s="14" t="s">
        <v>249</v>
      </c>
      <c r="C53" s="6"/>
      <c r="D53" s="86"/>
      <c r="E53" s="51"/>
      <c r="F53" s="363"/>
    </row>
    <row r="54" spans="1:6" ht="39">
      <c r="A54" s="364" t="s">
        <v>96</v>
      </c>
      <c r="B54" s="12" t="s">
        <v>250</v>
      </c>
      <c r="C54" s="2" t="s">
        <v>32</v>
      </c>
      <c r="D54" s="87">
        <f>(17*36*0.05*0.15)</f>
        <v>4.59</v>
      </c>
      <c r="E54" s="49"/>
      <c r="F54" s="356">
        <f t="shared" ref="F54:F59" si="1">E54*D54</f>
        <v>0</v>
      </c>
    </row>
    <row r="55" spans="1:6">
      <c r="A55" s="364" t="s">
        <v>98</v>
      </c>
      <c r="B55" s="12" t="s">
        <v>99</v>
      </c>
      <c r="C55" s="2" t="s">
        <v>32</v>
      </c>
      <c r="D55" s="87">
        <f>29*0.07*0.07*12*1.1</f>
        <v>1.8757200000000007</v>
      </c>
      <c r="E55" s="49"/>
      <c r="F55" s="356">
        <f t="shared" si="1"/>
        <v>0</v>
      </c>
    </row>
    <row r="56" spans="1:6" ht="26">
      <c r="A56" s="364" t="s">
        <v>100</v>
      </c>
      <c r="B56" s="12" t="s">
        <v>251</v>
      </c>
      <c r="C56" s="2" t="s">
        <v>14</v>
      </c>
      <c r="D56" s="87">
        <v>339</v>
      </c>
      <c r="E56" s="49"/>
      <c r="F56" s="356">
        <f t="shared" si="1"/>
        <v>0</v>
      </c>
    </row>
    <row r="57" spans="1:6">
      <c r="A57" s="364" t="s">
        <v>102</v>
      </c>
      <c r="B57" s="12" t="s">
        <v>252</v>
      </c>
      <c r="C57" s="2" t="s">
        <v>104</v>
      </c>
      <c r="D57" s="87">
        <v>49</v>
      </c>
      <c r="E57" s="49"/>
      <c r="F57" s="356">
        <f t="shared" si="1"/>
        <v>0</v>
      </c>
    </row>
    <row r="58" spans="1:6">
      <c r="A58" s="364" t="s">
        <v>253</v>
      </c>
      <c r="B58" s="12" t="s">
        <v>103</v>
      </c>
      <c r="C58" s="2" t="s">
        <v>104</v>
      </c>
      <c r="D58" s="87">
        <v>106</v>
      </c>
      <c r="E58" s="49"/>
      <c r="F58" s="356">
        <f>E58*D58</f>
        <v>0</v>
      </c>
    </row>
    <row r="59" spans="1:6" ht="65.5" thickBot="1">
      <c r="A59" s="444" t="s">
        <v>254</v>
      </c>
      <c r="B59" s="445" t="s">
        <v>357</v>
      </c>
      <c r="C59" s="61" t="s">
        <v>14</v>
      </c>
      <c r="D59" s="105">
        <f>261+30</f>
        <v>291</v>
      </c>
      <c r="E59" s="58"/>
      <c r="F59" s="381">
        <f t="shared" si="1"/>
        <v>0</v>
      </c>
    </row>
    <row r="60" spans="1:6" ht="15" thickBot="1">
      <c r="A60" s="347"/>
      <c r="B60" s="135" t="s">
        <v>105</v>
      </c>
      <c r="C60" s="70"/>
      <c r="D60" s="103"/>
      <c r="E60" s="126"/>
      <c r="F60" s="221">
        <f>SUM(F54:F59)</f>
        <v>0</v>
      </c>
    </row>
    <row r="61" spans="1:6" ht="15" thickBot="1">
      <c r="A61" s="365"/>
      <c r="B61" s="366"/>
      <c r="C61" s="349"/>
      <c r="D61" s="350"/>
      <c r="E61" s="351"/>
      <c r="F61" s="352"/>
    </row>
    <row r="62" spans="1:6" ht="15" thickBot="1">
      <c r="A62" s="302">
        <v>3</v>
      </c>
      <c r="B62" s="367" t="s">
        <v>106</v>
      </c>
      <c r="C62" s="26"/>
      <c r="D62" s="81"/>
      <c r="E62" s="45"/>
      <c r="F62" s="368"/>
    </row>
    <row r="63" spans="1:6" ht="15" thickBot="1">
      <c r="A63" s="369" t="s">
        <v>107</v>
      </c>
      <c r="B63" s="370" t="s">
        <v>255</v>
      </c>
      <c r="C63" s="16"/>
      <c r="D63" s="85"/>
      <c r="E63" s="50"/>
      <c r="F63" s="220"/>
    </row>
    <row r="64" spans="1:6">
      <c r="A64" s="371" t="s">
        <v>109</v>
      </c>
      <c r="B64" s="27" t="s">
        <v>256</v>
      </c>
      <c r="C64" s="6"/>
      <c r="D64" s="86"/>
      <c r="E64" s="51"/>
      <c r="F64" s="363"/>
    </row>
    <row r="65" spans="1:6" ht="26">
      <c r="A65" s="354" t="s">
        <v>111</v>
      </c>
      <c r="B65" s="107" t="s">
        <v>257</v>
      </c>
      <c r="C65" s="2" t="s">
        <v>115</v>
      </c>
      <c r="D65" s="87">
        <v>3</v>
      </c>
      <c r="E65" s="49"/>
      <c r="F65" s="356">
        <f>E65*D65</f>
        <v>0</v>
      </c>
    </row>
    <row r="66" spans="1:6" ht="26">
      <c r="A66" s="354" t="s">
        <v>116</v>
      </c>
      <c r="B66" s="107" t="s">
        <v>258</v>
      </c>
      <c r="C66" s="2" t="s">
        <v>115</v>
      </c>
      <c r="D66" s="87">
        <v>4</v>
      </c>
      <c r="E66" s="49"/>
      <c r="F66" s="356">
        <f>E66*D66</f>
        <v>0</v>
      </c>
    </row>
    <row r="67" spans="1:6">
      <c r="A67" s="354" t="s">
        <v>189</v>
      </c>
      <c r="B67" s="107" t="s">
        <v>259</v>
      </c>
      <c r="C67" s="2" t="s">
        <v>115</v>
      </c>
      <c r="D67" s="87">
        <v>2</v>
      </c>
      <c r="E67" s="49"/>
      <c r="F67" s="356">
        <f>E67*D67</f>
        <v>0</v>
      </c>
    </row>
    <row r="68" spans="1:6">
      <c r="A68" s="373" t="s">
        <v>122</v>
      </c>
      <c r="B68" s="374" t="s">
        <v>260</v>
      </c>
      <c r="C68" s="375"/>
      <c r="D68" s="87"/>
      <c r="E68" s="376"/>
      <c r="F68" s="356"/>
    </row>
    <row r="69" spans="1:6" ht="26">
      <c r="A69" s="354" t="s">
        <v>261</v>
      </c>
      <c r="B69" s="107" t="s">
        <v>262</v>
      </c>
      <c r="C69" s="2" t="s">
        <v>115</v>
      </c>
      <c r="D69" s="87">
        <v>16</v>
      </c>
      <c r="E69" s="377"/>
      <c r="F69" s="356">
        <f>E69*D69</f>
        <v>0</v>
      </c>
    </row>
    <row r="70" spans="1:6" ht="26.5" thickBot="1">
      <c r="A70" s="354" t="s">
        <v>263</v>
      </c>
      <c r="B70" s="107" t="s">
        <v>352</v>
      </c>
      <c r="C70" s="2" t="s">
        <v>115</v>
      </c>
      <c r="D70" s="87">
        <v>15</v>
      </c>
      <c r="E70" s="377"/>
      <c r="F70" s="356">
        <f>E70*D70</f>
        <v>0</v>
      </c>
    </row>
    <row r="71" spans="1:6" ht="15" thickBot="1">
      <c r="A71" s="347"/>
      <c r="B71" s="135" t="s">
        <v>126</v>
      </c>
      <c r="C71" s="70"/>
      <c r="D71" s="103"/>
      <c r="E71" s="126"/>
      <c r="F71" s="221">
        <f>SUM(F66:F69)</f>
        <v>0</v>
      </c>
    </row>
    <row r="72" spans="1:6" ht="15" thickBot="1">
      <c r="A72" s="348"/>
      <c r="B72" s="124"/>
      <c r="C72" s="26"/>
      <c r="D72" s="81"/>
      <c r="E72" s="45"/>
      <c r="F72" s="368"/>
    </row>
    <row r="73" spans="1:6" ht="15" thickBot="1">
      <c r="A73" s="446" t="s">
        <v>127</v>
      </c>
      <c r="B73" s="447" t="s">
        <v>128</v>
      </c>
      <c r="C73" s="31"/>
      <c r="D73" s="85"/>
      <c r="E73" s="50"/>
      <c r="F73" s="220"/>
    </row>
    <row r="74" spans="1:6" ht="26">
      <c r="A74" s="449" t="s">
        <v>129</v>
      </c>
      <c r="B74" s="378" t="s">
        <v>264</v>
      </c>
      <c r="C74" s="106" t="s">
        <v>14</v>
      </c>
      <c r="D74" s="337">
        <f>(65*2*3.4)-102</f>
        <v>340</v>
      </c>
      <c r="E74" s="49"/>
      <c r="F74" s="356">
        <f>E74*D74</f>
        <v>0</v>
      </c>
    </row>
    <row r="75" spans="1:6" ht="26">
      <c r="A75" s="364" t="s">
        <v>131</v>
      </c>
      <c r="B75" s="107" t="s">
        <v>265</v>
      </c>
      <c r="C75" s="106" t="s">
        <v>14</v>
      </c>
      <c r="D75" s="337">
        <f>(51*2)</f>
        <v>102</v>
      </c>
      <c r="E75" s="49"/>
      <c r="F75" s="356">
        <f>E75*D75</f>
        <v>0</v>
      </c>
    </row>
    <row r="76" spans="1:6">
      <c r="A76" s="364" t="s">
        <v>133</v>
      </c>
      <c r="B76" s="462" t="s">
        <v>358</v>
      </c>
      <c r="C76" s="106" t="s">
        <v>14</v>
      </c>
      <c r="D76" s="355">
        <f>((44+14)*2)*1.5</f>
        <v>174</v>
      </c>
      <c r="E76" s="49"/>
      <c r="F76" s="356">
        <f>E76*D76</f>
        <v>0</v>
      </c>
    </row>
    <row r="77" spans="1:6" ht="26">
      <c r="A77" s="364" t="s">
        <v>135</v>
      </c>
      <c r="B77" s="107" t="s">
        <v>266</v>
      </c>
      <c r="C77" s="106" t="s">
        <v>14</v>
      </c>
      <c r="D77" s="355">
        <v>106</v>
      </c>
      <c r="E77" s="49"/>
      <c r="F77" s="356">
        <f>E77*D77</f>
        <v>0</v>
      </c>
    </row>
    <row r="78" spans="1:6" ht="26.5" thickBot="1">
      <c r="A78" s="450" t="s">
        <v>137</v>
      </c>
      <c r="B78" s="207" t="s">
        <v>348</v>
      </c>
      <c r="C78" s="106" t="s">
        <v>14</v>
      </c>
      <c r="D78" s="355">
        <v>396</v>
      </c>
      <c r="E78" s="49"/>
      <c r="F78" s="356">
        <f>E78*D78</f>
        <v>0</v>
      </c>
    </row>
    <row r="79" spans="1:6" ht="15" thickBot="1">
      <c r="A79" s="448"/>
      <c r="B79" s="424" t="s">
        <v>141</v>
      </c>
      <c r="C79" s="70" t="s">
        <v>142</v>
      </c>
      <c r="D79" s="103"/>
      <c r="E79" s="126"/>
      <c r="F79" s="221">
        <f>SUM(F74:F78)</f>
        <v>0</v>
      </c>
    </row>
    <row r="80" spans="1:6" ht="15" thickBot="1">
      <c r="A80" s="383"/>
      <c r="B80" s="384"/>
      <c r="C80" s="349"/>
      <c r="D80" s="350"/>
      <c r="E80" s="351"/>
      <c r="F80" s="352"/>
    </row>
    <row r="81" spans="1:6">
      <c r="A81" s="385" t="s">
        <v>143</v>
      </c>
      <c r="B81" s="386" t="s">
        <v>267</v>
      </c>
      <c r="C81" s="387"/>
      <c r="D81" s="388"/>
      <c r="E81" s="389"/>
      <c r="F81" s="390"/>
    </row>
    <row r="82" spans="1:6">
      <c r="A82" s="371" t="s">
        <v>145</v>
      </c>
      <c r="B82" s="391" t="s">
        <v>268</v>
      </c>
      <c r="C82" s="375"/>
      <c r="D82" s="392"/>
      <c r="E82" s="393"/>
      <c r="F82" s="394"/>
    </row>
    <row r="83" spans="1:6">
      <c r="A83" s="395" t="s">
        <v>269</v>
      </c>
      <c r="B83" s="147" t="s">
        <v>270</v>
      </c>
      <c r="C83" s="396" t="s">
        <v>115</v>
      </c>
      <c r="D83" s="90">
        <v>1</v>
      </c>
      <c r="E83" s="48"/>
      <c r="F83" s="397">
        <f t="shared" ref="F83:F105" si="2">E83*D83</f>
        <v>0</v>
      </c>
    </row>
    <row r="84" spans="1:6">
      <c r="A84" s="395" t="s">
        <v>271</v>
      </c>
      <c r="B84" s="39" t="s">
        <v>272</v>
      </c>
      <c r="C84" s="398" t="s">
        <v>115</v>
      </c>
      <c r="D84" s="87">
        <v>18</v>
      </c>
      <c r="E84" s="49"/>
      <c r="F84" s="356">
        <f t="shared" si="2"/>
        <v>0</v>
      </c>
    </row>
    <row r="85" spans="1:6">
      <c r="A85" s="395" t="s">
        <v>273</v>
      </c>
      <c r="B85" s="39" t="s">
        <v>274</v>
      </c>
      <c r="C85" s="398" t="s">
        <v>104</v>
      </c>
      <c r="D85" s="87">
        <v>600</v>
      </c>
      <c r="E85" s="49"/>
      <c r="F85" s="356">
        <f t="shared" si="2"/>
        <v>0</v>
      </c>
    </row>
    <row r="86" spans="1:6">
      <c r="A86" s="395" t="s">
        <v>275</v>
      </c>
      <c r="B86" s="39" t="s">
        <v>276</v>
      </c>
      <c r="C86" s="398" t="s">
        <v>104</v>
      </c>
      <c r="D86" s="87">
        <v>400</v>
      </c>
      <c r="E86" s="49"/>
      <c r="F86" s="356">
        <f t="shared" si="2"/>
        <v>0</v>
      </c>
    </row>
    <row r="87" spans="1:6">
      <c r="A87" s="395" t="s">
        <v>277</v>
      </c>
      <c r="B87" s="39" t="s">
        <v>278</v>
      </c>
      <c r="C87" s="398" t="s">
        <v>115</v>
      </c>
      <c r="D87" s="87">
        <v>18</v>
      </c>
      <c r="E87" s="49"/>
      <c r="F87" s="356">
        <f t="shared" si="2"/>
        <v>0</v>
      </c>
    </row>
    <row r="88" spans="1:6">
      <c r="A88" s="395" t="s">
        <v>279</v>
      </c>
      <c r="B88" s="39" t="s">
        <v>280</v>
      </c>
      <c r="C88" s="398" t="s">
        <v>115</v>
      </c>
      <c r="D88" s="87">
        <v>3</v>
      </c>
      <c r="E88" s="49"/>
      <c r="F88" s="356">
        <f t="shared" si="2"/>
        <v>0</v>
      </c>
    </row>
    <row r="89" spans="1:6">
      <c r="A89" s="395" t="s">
        <v>281</v>
      </c>
      <c r="B89" s="39" t="s">
        <v>282</v>
      </c>
      <c r="C89" s="398" t="s">
        <v>115</v>
      </c>
      <c r="D89" s="87">
        <v>2</v>
      </c>
      <c r="E89" s="49"/>
      <c r="F89" s="356">
        <f t="shared" si="2"/>
        <v>0</v>
      </c>
    </row>
    <row r="90" spans="1:6">
      <c r="A90" s="395" t="s">
        <v>283</v>
      </c>
      <c r="B90" s="39" t="s">
        <v>284</v>
      </c>
      <c r="C90" s="398" t="s">
        <v>115</v>
      </c>
      <c r="D90" s="87">
        <v>1</v>
      </c>
      <c r="E90" s="49"/>
      <c r="F90" s="356">
        <f t="shared" si="2"/>
        <v>0</v>
      </c>
    </row>
    <row r="91" spans="1:6">
      <c r="A91" s="395" t="s">
        <v>285</v>
      </c>
      <c r="B91" s="67" t="s">
        <v>286</v>
      </c>
      <c r="C91" s="399" t="s">
        <v>115</v>
      </c>
      <c r="D91" s="105">
        <v>1</v>
      </c>
      <c r="E91" s="58"/>
      <c r="F91" s="381">
        <f t="shared" si="2"/>
        <v>0</v>
      </c>
    </row>
    <row r="92" spans="1:6">
      <c r="A92" s="371" t="s">
        <v>147</v>
      </c>
      <c r="B92" s="400" t="s">
        <v>287</v>
      </c>
      <c r="C92" s="401"/>
      <c r="D92" s="87"/>
      <c r="E92" s="49"/>
      <c r="F92" s="402"/>
    </row>
    <row r="93" spans="1:6" ht="26">
      <c r="A93" s="371" t="s">
        <v>147</v>
      </c>
      <c r="B93" s="39" t="s">
        <v>288</v>
      </c>
      <c r="C93" s="403" t="s">
        <v>289</v>
      </c>
      <c r="D93" s="403">
        <v>6</v>
      </c>
      <c r="E93" s="49"/>
      <c r="F93" s="356">
        <f t="shared" si="2"/>
        <v>0</v>
      </c>
    </row>
    <row r="94" spans="1:6" ht="26">
      <c r="A94" s="371" t="s">
        <v>290</v>
      </c>
      <c r="B94" s="39" t="s">
        <v>291</v>
      </c>
      <c r="C94" s="403" t="s">
        <v>289</v>
      </c>
      <c r="D94" s="403">
        <v>1</v>
      </c>
      <c r="E94" s="49"/>
      <c r="F94" s="356">
        <f t="shared" si="2"/>
        <v>0</v>
      </c>
    </row>
    <row r="95" spans="1:6" ht="26">
      <c r="A95" s="371" t="s">
        <v>292</v>
      </c>
      <c r="B95" s="39" t="s">
        <v>293</v>
      </c>
      <c r="C95" s="403" t="s">
        <v>289</v>
      </c>
      <c r="D95" s="403">
        <v>1</v>
      </c>
      <c r="E95" s="49"/>
      <c r="F95" s="356">
        <f t="shared" si="2"/>
        <v>0</v>
      </c>
    </row>
    <row r="96" spans="1:6" ht="26">
      <c r="A96" s="371" t="s">
        <v>294</v>
      </c>
      <c r="B96" s="39" t="s">
        <v>295</v>
      </c>
      <c r="C96" s="403" t="s">
        <v>289</v>
      </c>
      <c r="D96" s="403">
        <v>1</v>
      </c>
      <c r="E96" s="49"/>
      <c r="F96" s="356">
        <f t="shared" si="2"/>
        <v>0</v>
      </c>
    </row>
    <row r="97" spans="1:6" ht="26">
      <c r="A97" s="371" t="s">
        <v>296</v>
      </c>
      <c r="B97" s="39" t="s">
        <v>297</v>
      </c>
      <c r="C97" s="403" t="s">
        <v>298</v>
      </c>
      <c r="D97" s="403">
        <v>1</v>
      </c>
      <c r="E97" s="49"/>
      <c r="F97" s="356">
        <f t="shared" si="2"/>
        <v>0</v>
      </c>
    </row>
    <row r="98" spans="1:6" ht="26">
      <c r="A98" s="371" t="s">
        <v>299</v>
      </c>
      <c r="B98" s="39" t="s">
        <v>300</v>
      </c>
      <c r="C98" s="403" t="s">
        <v>301</v>
      </c>
      <c r="D98" s="403">
        <v>30</v>
      </c>
      <c r="E98" s="49"/>
      <c r="F98" s="356">
        <f t="shared" si="2"/>
        <v>0</v>
      </c>
    </row>
    <row r="99" spans="1:6">
      <c r="A99" s="371" t="s">
        <v>302</v>
      </c>
      <c r="B99" s="39" t="s">
        <v>303</v>
      </c>
      <c r="C99" s="403" t="s">
        <v>301</v>
      </c>
      <c r="D99" s="403">
        <v>20</v>
      </c>
      <c r="E99" s="49"/>
      <c r="F99" s="356">
        <f t="shared" si="2"/>
        <v>0</v>
      </c>
    </row>
    <row r="100" spans="1:6">
      <c r="A100" s="371" t="s">
        <v>304</v>
      </c>
      <c r="B100" s="39" t="s">
        <v>305</v>
      </c>
      <c r="C100" s="403" t="s">
        <v>289</v>
      </c>
      <c r="D100" s="403">
        <v>1</v>
      </c>
      <c r="E100" s="49"/>
      <c r="F100" s="356">
        <f t="shared" si="2"/>
        <v>0</v>
      </c>
    </row>
    <row r="101" spans="1:6">
      <c r="A101" s="371" t="s">
        <v>306</v>
      </c>
      <c r="B101" s="39" t="s">
        <v>307</v>
      </c>
      <c r="C101" s="403" t="s">
        <v>289</v>
      </c>
      <c r="D101" s="403">
        <v>3</v>
      </c>
      <c r="E101" s="49"/>
      <c r="F101" s="356">
        <f t="shared" si="2"/>
        <v>0</v>
      </c>
    </row>
    <row r="102" spans="1:6">
      <c r="A102" s="371" t="s">
        <v>308</v>
      </c>
      <c r="B102" s="39" t="s">
        <v>309</v>
      </c>
      <c r="C102" s="403" t="s">
        <v>289</v>
      </c>
      <c r="D102" s="403">
        <v>1</v>
      </c>
      <c r="E102" s="49"/>
      <c r="F102" s="356">
        <f t="shared" si="2"/>
        <v>0</v>
      </c>
    </row>
    <row r="103" spans="1:6" ht="26">
      <c r="A103" s="371" t="s">
        <v>310</v>
      </c>
      <c r="B103" s="39" t="s">
        <v>311</v>
      </c>
      <c r="C103" s="403" t="s">
        <v>289</v>
      </c>
      <c r="D103" s="403">
        <v>1</v>
      </c>
      <c r="E103" s="49"/>
      <c r="F103" s="356">
        <f t="shared" si="2"/>
        <v>0</v>
      </c>
    </row>
    <row r="104" spans="1:6" ht="26">
      <c r="A104" s="371" t="s">
        <v>312</v>
      </c>
      <c r="B104" s="39" t="s">
        <v>313</v>
      </c>
      <c r="C104" s="403" t="s">
        <v>298</v>
      </c>
      <c r="D104" s="403">
        <v>1</v>
      </c>
      <c r="E104" s="49"/>
      <c r="F104" s="356">
        <f t="shared" si="2"/>
        <v>0</v>
      </c>
    </row>
    <row r="105" spans="1:6" ht="26.5" thickBot="1">
      <c r="A105" s="371" t="s">
        <v>314</v>
      </c>
      <c r="B105" s="404" t="s">
        <v>315</v>
      </c>
      <c r="C105" s="403" t="s">
        <v>316</v>
      </c>
      <c r="D105" s="403">
        <v>1</v>
      </c>
      <c r="E105" s="73"/>
      <c r="F105" s="356">
        <f t="shared" si="2"/>
        <v>0</v>
      </c>
    </row>
    <row r="106" spans="1:6" ht="15" thickBot="1">
      <c r="A106" s="382"/>
      <c r="B106" s="40" t="s">
        <v>317</v>
      </c>
      <c r="C106" s="70" t="s">
        <v>142</v>
      </c>
      <c r="D106" s="103"/>
      <c r="E106" s="126"/>
      <c r="F106" s="221">
        <f>SUM(F82:F105)</f>
        <v>0</v>
      </c>
    </row>
    <row r="107" spans="1:6" ht="15" thickBot="1">
      <c r="A107" s="383"/>
      <c r="B107" s="405"/>
      <c r="C107" s="349"/>
      <c r="D107" s="350"/>
      <c r="E107" s="351"/>
      <c r="F107" s="352"/>
    </row>
    <row r="108" spans="1:6" ht="15" thickBot="1">
      <c r="A108" s="362" t="s">
        <v>175</v>
      </c>
      <c r="B108" s="370" t="s">
        <v>144</v>
      </c>
      <c r="C108" s="16"/>
      <c r="D108" s="85"/>
      <c r="E108" s="50"/>
      <c r="F108" s="220"/>
    </row>
    <row r="109" spans="1:6" ht="26">
      <c r="A109" s="395" t="s">
        <v>177</v>
      </c>
      <c r="B109" s="34" t="s">
        <v>146</v>
      </c>
      <c r="C109" s="32" t="s">
        <v>104</v>
      </c>
      <c r="D109" s="90">
        <v>50</v>
      </c>
      <c r="E109" s="48"/>
      <c r="F109" s="406">
        <f>E109*D109</f>
        <v>0</v>
      </c>
    </row>
    <row r="110" spans="1:6" ht="15" thickBot="1">
      <c r="A110" s="395" t="s">
        <v>179</v>
      </c>
      <c r="B110" s="33" t="s">
        <v>148</v>
      </c>
      <c r="C110" s="2" t="s">
        <v>104</v>
      </c>
      <c r="D110" s="87">
        <v>48</v>
      </c>
      <c r="E110" s="49"/>
      <c r="F110" s="407">
        <f>E110*D110</f>
        <v>0</v>
      </c>
    </row>
    <row r="111" spans="1:6" ht="15" thickBot="1">
      <c r="A111" s="382"/>
      <c r="B111" s="40" t="s">
        <v>174</v>
      </c>
      <c r="C111" s="70"/>
      <c r="D111" s="103"/>
      <c r="E111" s="126"/>
      <c r="F111" s="221">
        <f>+SUM(F109:F110)</f>
        <v>0</v>
      </c>
    </row>
    <row r="112" spans="1:6" ht="15" thickBot="1">
      <c r="A112" s="408"/>
      <c r="B112" s="409"/>
      <c r="C112" s="410"/>
      <c r="D112" s="411"/>
      <c r="E112" s="412"/>
      <c r="F112" s="413"/>
    </row>
    <row r="113" spans="1:6" ht="15" thickBot="1">
      <c r="A113" s="369" t="s">
        <v>318</v>
      </c>
      <c r="B113" s="370" t="s">
        <v>176</v>
      </c>
      <c r="C113" s="16"/>
      <c r="D113" s="85"/>
      <c r="E113" s="50"/>
      <c r="F113" s="220"/>
    </row>
    <row r="114" spans="1:6" ht="26">
      <c r="A114" s="452" t="s">
        <v>319</v>
      </c>
      <c r="B114" s="147" t="s">
        <v>178</v>
      </c>
      <c r="C114" s="32" t="s">
        <v>14</v>
      </c>
      <c r="D114" s="414">
        <f>+D74</f>
        <v>340</v>
      </c>
      <c r="E114" s="48"/>
      <c r="F114" s="397">
        <f>E114*D114</f>
        <v>0</v>
      </c>
    </row>
    <row r="115" spans="1:6" ht="26">
      <c r="A115" s="451" t="s">
        <v>320</v>
      </c>
      <c r="B115" s="107" t="s">
        <v>321</v>
      </c>
      <c r="C115" s="2" t="s">
        <v>14</v>
      </c>
      <c r="D115" s="355">
        <f>+D76</f>
        <v>174</v>
      </c>
      <c r="E115" s="49"/>
      <c r="F115" s="356">
        <f>E115*D115</f>
        <v>0</v>
      </c>
    </row>
    <row r="116" spans="1:6">
      <c r="A116" s="451" t="s">
        <v>322</v>
      </c>
      <c r="B116" s="107" t="s">
        <v>323</v>
      </c>
      <c r="C116" s="2" t="s">
        <v>14</v>
      </c>
      <c r="D116" s="355">
        <f>+D59</f>
        <v>291</v>
      </c>
      <c r="E116" s="49"/>
      <c r="F116" s="356">
        <f>E116*D116</f>
        <v>0</v>
      </c>
    </row>
    <row r="117" spans="1:6" ht="26.5" thickBot="1">
      <c r="A117" s="463" t="s">
        <v>324</v>
      </c>
      <c r="B117" s="464" t="s">
        <v>325</v>
      </c>
      <c r="C117" s="465" t="s">
        <v>14</v>
      </c>
      <c r="D117" s="466">
        <f>+D74*1.8/3.2</f>
        <v>191.25</v>
      </c>
      <c r="E117" s="453"/>
      <c r="F117" s="454"/>
    </row>
    <row r="118" spans="1:6" ht="15" thickBot="1">
      <c r="A118" s="448"/>
      <c r="B118" s="424" t="s">
        <v>181</v>
      </c>
      <c r="C118" s="425"/>
      <c r="D118" s="426"/>
      <c r="E118" s="427"/>
      <c r="F118" s="428">
        <f>SUM(F114:F116)</f>
        <v>0</v>
      </c>
    </row>
    <row r="119" spans="1:6" ht="15" thickBot="1">
      <c r="A119" s="383"/>
      <c r="B119" s="405"/>
      <c r="C119" s="6"/>
      <c r="D119" s="86"/>
      <c r="E119" s="51"/>
      <c r="F119" s="363"/>
    </row>
    <row r="120" spans="1:6" ht="15" thickBot="1">
      <c r="A120" s="362" t="s">
        <v>326</v>
      </c>
      <c r="B120" s="15" t="s">
        <v>327</v>
      </c>
      <c r="C120" s="16"/>
      <c r="D120" s="85"/>
      <c r="E120" s="50"/>
      <c r="F120" s="220"/>
    </row>
    <row r="121" spans="1:6">
      <c r="A121" s="408"/>
      <c r="B121" s="415"/>
      <c r="C121" s="416"/>
      <c r="D121" s="89"/>
      <c r="E121" s="63"/>
      <c r="F121" s="417"/>
    </row>
    <row r="122" spans="1:6">
      <c r="A122" s="354" t="s">
        <v>328</v>
      </c>
      <c r="B122" s="33" t="s">
        <v>329</v>
      </c>
      <c r="C122" s="106" t="s">
        <v>115</v>
      </c>
      <c r="D122" s="87">
        <v>2</v>
      </c>
      <c r="E122" s="49"/>
      <c r="F122" s="356">
        <f>E122*D122</f>
        <v>0</v>
      </c>
    </row>
    <row r="123" spans="1:6" ht="15" thickBot="1">
      <c r="A123" s="379" t="s">
        <v>330</v>
      </c>
      <c r="B123" s="133" t="s">
        <v>331</v>
      </c>
      <c r="C123" s="418" t="s">
        <v>115</v>
      </c>
      <c r="D123" s="105">
        <v>6</v>
      </c>
      <c r="E123" s="58"/>
      <c r="F123" s="381">
        <f>E123*D123</f>
        <v>0</v>
      </c>
    </row>
    <row r="124" spans="1:6" ht="15" thickBot="1">
      <c r="A124" s="382"/>
      <c r="B124" s="40" t="s">
        <v>332</v>
      </c>
      <c r="C124" s="419"/>
      <c r="D124" s="103"/>
      <c r="E124" s="126"/>
      <c r="F124" s="221">
        <f>SUM(F122:F123)</f>
        <v>0</v>
      </c>
    </row>
    <row r="125" spans="1:6" ht="15" thickBot="1">
      <c r="A125" s="430"/>
      <c r="B125" s="120" t="s">
        <v>350</v>
      </c>
      <c r="C125" s="59"/>
      <c r="D125" s="80"/>
      <c r="E125" s="5"/>
      <c r="F125" s="219">
        <v>0</v>
      </c>
    </row>
    <row r="126" spans="1:6">
      <c r="A126" s="383"/>
      <c r="B126" s="384"/>
      <c r="C126" s="420"/>
      <c r="D126" s="86"/>
      <c r="E126" s="51"/>
      <c r="F126" s="363"/>
    </row>
    <row r="127" spans="1:6" ht="15" thickBot="1">
      <c r="A127" s="421">
        <v>4</v>
      </c>
      <c r="B127" s="151" t="s">
        <v>195</v>
      </c>
      <c r="C127" s="148"/>
      <c r="D127" s="93"/>
      <c r="E127" s="68"/>
      <c r="F127" s="222"/>
    </row>
    <row r="128" spans="1:6" ht="26.5" thickBot="1">
      <c r="A128" s="369" t="s">
        <v>196</v>
      </c>
      <c r="B128" s="152" t="s">
        <v>197</v>
      </c>
      <c r="C128" s="149"/>
      <c r="D128" s="85"/>
      <c r="E128" s="50"/>
      <c r="F128" s="220"/>
    </row>
    <row r="129" spans="1:6">
      <c r="A129" s="422" t="s">
        <v>198</v>
      </c>
      <c r="B129" s="153" t="s">
        <v>199</v>
      </c>
      <c r="C129" s="156" t="s">
        <v>32</v>
      </c>
      <c r="D129" s="157">
        <f>((27.9*2)+(12.3*2))*0.2*0.15</f>
        <v>2.4120000000000004</v>
      </c>
      <c r="E129" s="130"/>
      <c r="F129" s="223">
        <f t="shared" ref="F129:F135" si="3">E129*D129</f>
        <v>0</v>
      </c>
    </row>
    <row r="130" spans="1:6">
      <c r="A130" s="423" t="s">
        <v>200</v>
      </c>
      <c r="B130" s="154" t="s">
        <v>201</v>
      </c>
      <c r="C130" s="1" t="s">
        <v>32</v>
      </c>
      <c r="D130" s="94">
        <f>((27.9*2)+(12.3*2))*0.05*0.15</f>
        <v>0.60300000000000009</v>
      </c>
      <c r="E130" s="52"/>
      <c r="F130" s="224">
        <f t="shared" si="3"/>
        <v>0</v>
      </c>
    </row>
    <row r="131" spans="1:6">
      <c r="A131" s="423" t="s">
        <v>202</v>
      </c>
      <c r="B131" s="154" t="s">
        <v>203</v>
      </c>
      <c r="C131" s="1" t="s">
        <v>32</v>
      </c>
      <c r="D131" s="94">
        <f>((27.9*2)+(12.3*2))*0.3*0.15</f>
        <v>3.6179999999999999</v>
      </c>
      <c r="E131" s="52"/>
      <c r="F131" s="224">
        <f t="shared" si="3"/>
        <v>0</v>
      </c>
    </row>
    <row r="132" spans="1:6">
      <c r="A132" s="423" t="s">
        <v>204</v>
      </c>
      <c r="B132" s="154" t="s">
        <v>205</v>
      </c>
      <c r="C132" s="1" t="s">
        <v>32</v>
      </c>
      <c r="D132" s="95">
        <f>((0.8*27.91*2)+(0.8*10.33*2))*0.07</f>
        <v>4.2828800000000014</v>
      </c>
      <c r="E132" s="52"/>
      <c r="F132" s="224">
        <f>E132*D132</f>
        <v>0</v>
      </c>
    </row>
    <row r="133" spans="1:6" ht="26">
      <c r="A133" s="423" t="s">
        <v>206</v>
      </c>
      <c r="B133" s="39" t="s">
        <v>207</v>
      </c>
      <c r="C133" s="1" t="s">
        <v>32</v>
      </c>
      <c r="D133" s="95">
        <f>(4*0.7*0.1)+(1.83*0.7*0.1)+(1.54*0.7*0.1)+(1.7*0.7*0.1*2)</f>
        <v>0.7538999999999999</v>
      </c>
      <c r="E133" s="52"/>
      <c r="F133" s="224">
        <f t="shared" si="3"/>
        <v>0</v>
      </c>
    </row>
    <row r="134" spans="1:6" ht="39">
      <c r="A134" s="423" t="s">
        <v>208</v>
      </c>
      <c r="B134" s="39" t="s">
        <v>209</v>
      </c>
      <c r="C134" s="1" t="s">
        <v>104</v>
      </c>
      <c r="D134" s="96">
        <v>46</v>
      </c>
      <c r="E134" s="52"/>
      <c r="F134" s="225">
        <f t="shared" si="3"/>
        <v>0</v>
      </c>
    </row>
    <row r="135" spans="1:6" ht="26.5" thickBot="1">
      <c r="A135" s="455" t="s">
        <v>210</v>
      </c>
      <c r="B135" s="467" t="s">
        <v>211</v>
      </c>
      <c r="C135" s="69" t="s">
        <v>212</v>
      </c>
      <c r="D135" s="456">
        <v>1</v>
      </c>
      <c r="E135" s="53"/>
      <c r="F135" s="457">
        <f t="shared" si="3"/>
        <v>0</v>
      </c>
    </row>
    <row r="136" spans="1:6" ht="26.5" thickBot="1">
      <c r="A136" s="458"/>
      <c r="B136" s="40" t="s">
        <v>221</v>
      </c>
      <c r="C136" s="70"/>
      <c r="D136" s="103"/>
      <c r="E136" s="126"/>
      <c r="F136" s="221">
        <f>SUM(F129:F135)</f>
        <v>0</v>
      </c>
    </row>
    <row r="137" spans="1:6" ht="15" thickBot="1">
      <c r="A137" s="429"/>
      <c r="B137" s="155"/>
      <c r="C137" s="150"/>
      <c r="D137" s="99"/>
      <c r="E137" s="3"/>
      <c r="F137" s="226"/>
    </row>
    <row r="138" spans="1:6" ht="15" thickBot="1">
      <c r="A138" s="430">
        <v>4</v>
      </c>
      <c r="B138" s="481" t="s">
        <v>337</v>
      </c>
      <c r="C138" s="482"/>
      <c r="D138" s="482"/>
      <c r="E138" s="483"/>
      <c r="F138" s="228">
        <f>(SUM(F24:F136)/2)+F17</f>
        <v>0</v>
      </c>
    </row>
    <row r="139" spans="1:6">
      <c r="A139" s="431"/>
      <c r="B139" s="438"/>
      <c r="C139" s="438"/>
      <c r="D139" s="438"/>
      <c r="E139" s="438"/>
      <c r="F139" s="439"/>
    </row>
    <row r="140" spans="1:6">
      <c r="A140" s="477" t="s">
        <v>347</v>
      </c>
      <c r="B140" s="478"/>
      <c r="C140" s="478"/>
      <c r="D140" s="478"/>
      <c r="E140" s="478"/>
      <c r="F140" s="479"/>
    </row>
    <row r="141" spans="1:6" ht="15" thickBot="1">
      <c r="A141" s="477"/>
      <c r="B141" s="478"/>
      <c r="C141" s="478"/>
      <c r="D141" s="478"/>
      <c r="E141" s="478"/>
      <c r="F141" s="479"/>
    </row>
    <row r="142" spans="1:6" ht="15" thickBot="1">
      <c r="A142" s="297" t="s">
        <v>222</v>
      </c>
      <c r="B142" s="166" t="s">
        <v>223</v>
      </c>
      <c r="C142" s="167"/>
      <c r="D142" s="168"/>
      <c r="E142" s="169"/>
      <c r="F142" s="199" t="s">
        <v>339</v>
      </c>
    </row>
    <row r="143" spans="1:6" ht="15" thickBot="1">
      <c r="A143" s="298">
        <v>0</v>
      </c>
      <c r="B143" s="468" t="s">
        <v>224</v>
      </c>
      <c r="C143" s="469"/>
      <c r="D143" s="469"/>
      <c r="E143" s="470"/>
      <c r="F143" s="212" t="e">
        <f>#REF!</f>
        <v>#REF!</v>
      </c>
    </row>
    <row r="144" spans="1:6" ht="15" thickBot="1">
      <c r="A144" s="298">
        <v>1</v>
      </c>
      <c r="B144" s="468" t="s">
        <v>349</v>
      </c>
      <c r="C144" s="469"/>
      <c r="D144" s="469"/>
      <c r="E144" s="470"/>
      <c r="F144" s="212">
        <f>F29</f>
        <v>0</v>
      </c>
    </row>
    <row r="145" spans="1:6" ht="15" thickBot="1">
      <c r="A145" s="298">
        <v>4</v>
      </c>
      <c r="B145" s="468" t="s">
        <v>195</v>
      </c>
      <c r="C145" s="469"/>
      <c r="D145" s="469"/>
      <c r="E145" s="470"/>
      <c r="F145" s="212">
        <f>+F138</f>
        <v>0</v>
      </c>
    </row>
    <row r="146" spans="1:6" ht="15" thickBot="1">
      <c r="A146" s="299"/>
      <c r="B146" s="170" t="s">
        <v>338</v>
      </c>
      <c r="C146" s="171"/>
      <c r="D146" s="172"/>
      <c r="E146" s="173"/>
      <c r="F146" s="214" t="e">
        <f>SUM(F143:F145)</f>
        <v>#REF!</v>
      </c>
    </row>
  </sheetData>
  <mergeCells count="8">
    <mergeCell ref="B144:E144"/>
    <mergeCell ref="B145:E145"/>
    <mergeCell ref="A1:F2"/>
    <mergeCell ref="A18:F18"/>
    <mergeCell ref="A19:F19"/>
    <mergeCell ref="B138:E138"/>
    <mergeCell ref="A140:F141"/>
    <mergeCell ref="B143:E1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726663-edd4-44b0-b096-004a72f6092b" xsi:nil="true"/>
    <Province xmlns="2988a375-6014-4440-b0c3-4b78d779195e" xsi:nil="true"/>
    <Intervention xmlns="2988a375-6014-4440-b0c3-4b78d779195e" xsi:nil="true"/>
    <Etat xmlns="2988a375-6014-4440-b0c3-4b78d779195e" xsi:nil="true"/>
    <Dossier xmlns="2988a375-6014-4440-b0c3-4b78d779195e" xsi:nil="true"/>
    <Projet xmlns="2988a375-6014-4440-b0c3-4b78d779195e" xsi:nil="true"/>
    <Volet xmlns="2988a375-6014-4440-b0c3-4b78d779195e" xsi:nil="true"/>
    <th_x00e8_me xmlns="2988a375-6014-4440-b0c3-4b78d779195e" xsi:nil="true"/>
    <lcf76f155ced4ddcb4097134ff3c332f xmlns="2988a375-6014-4440-b0c3-4b78d779195e">
      <Terms xmlns="http://schemas.microsoft.com/office/infopath/2007/PartnerControls"/>
    </lcf76f155ced4ddcb4097134ff3c332f>
    <RespInfra xmlns="2988a375-6014-4440-b0c3-4b78d779195e">
      <UserInfo>
        <DisplayName/>
        <AccountId xsi:nil="true"/>
        <AccountType/>
      </UserInfo>
    </RespInfra>
    <BEMOE xmlns="2988a375-6014-4440-b0c3-4b78d779195e" xsi:nil="true"/>
    <responsableInfra xmlns="2988a375-6014-4440-b0c3-4b78d779195e">
      <UserInfo>
        <DisplayName/>
        <AccountId xsi:nil="true"/>
        <AccountType/>
      </UserInfo>
    </responsableInf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B6AFABC839B48A3E6F728B9285FC0" ma:contentTypeVersion="27" ma:contentTypeDescription="Crée un document." ma:contentTypeScope="" ma:versionID="dd4956bad75a9ec6f66b1c74538a14f7">
  <xsd:schema xmlns:xsd="http://www.w3.org/2001/XMLSchema" xmlns:xs="http://www.w3.org/2001/XMLSchema" xmlns:p="http://schemas.microsoft.com/office/2006/metadata/properties" xmlns:ns2="2988a375-6014-4440-b0c3-4b78d779195e" xmlns:ns3="a7726663-edd4-44b0-b096-004a72f6092b" targetNamespace="http://schemas.microsoft.com/office/2006/metadata/properties" ma:root="true" ma:fieldsID="f4912a007957c7c2e02a02b09ca8e11a" ns2:_="" ns3:_="">
    <xsd:import namespace="2988a375-6014-4440-b0c3-4b78d779195e"/>
    <xsd:import namespace="a7726663-edd4-44b0-b096-004a72f60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ovince" minOccurs="0"/>
                <xsd:element ref="ns2:Interven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BEMOE" minOccurs="0"/>
                <xsd:element ref="ns2:Etat" minOccurs="0"/>
                <xsd:element ref="ns2:Volet" minOccurs="0"/>
                <xsd:element ref="ns2:MediaServiceObjectDetectorVersions" minOccurs="0"/>
                <xsd:element ref="ns2:MediaServiceSearchProperties" minOccurs="0"/>
                <xsd:element ref="ns2:Dossier" minOccurs="0"/>
                <xsd:element ref="ns2:Projet" minOccurs="0"/>
                <xsd:element ref="ns2:responsableInfra" minOccurs="0"/>
                <xsd:element ref="ns2:RespInfra" minOccurs="0"/>
                <xsd:element ref="ns2:th_x00e8_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8a375-6014-4440-b0c3-4b78d7791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ovince" ma:index="10" nillable="true" ma:displayName="Province" ma:format="Dropdown" ma:internalName="Province">
      <xsd:simpleType>
        <xsd:union memberTypes="dms:Text">
          <xsd:simpleType>
            <xsd:restriction base="dms:Choice">
              <xsd:enumeration value="SU/Mongala"/>
              <xsd:enumeration value="Tshopo"/>
              <xsd:enumeration value="KorLom"/>
              <xsd:enumeration value="HautKatanga-Lualaba"/>
              <xsd:enumeration value="Kinshasa"/>
              <xsd:enumeration value="RCA"/>
            </xsd:restriction>
          </xsd:simpleType>
        </xsd:union>
      </xsd:simpleType>
    </xsd:element>
    <xsd:element name="Intervention" ma:index="11" nillable="true" ma:displayName="Intervention" ma:format="Dropdown" ma:internalName="Intervention">
      <xsd:simpleType>
        <xsd:restriction base="dms:Choice">
          <xsd:enumeration value="CovidStJo_COD2000211"/>
          <xsd:enumeration value="DEVRURII_CAF1900511"/>
          <xsd:enumeration value="EDUKAT_RDC1216911"/>
          <xsd:enumeration value="EDUKOR_RDC1217211"/>
          <xsd:enumeration value="EDUMOSU_RDC1217511"/>
          <xsd:enumeration value="EDUT_RDC1217911"/>
          <xsd:enumeration value="PIREDDMong_RDC182081T"/>
          <xsd:enumeration value="PRODAKOR_RDC1217111"/>
          <xsd:enumeration value="PRODAT_RDC1217711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BEMOE" ma:index="24" nillable="true" ma:displayName="BE MOE" ma:format="Dropdown" ma:internalName="BEMOE">
      <xsd:simpleType>
        <xsd:union memberTypes="dms:Text">
          <xsd:simpleType>
            <xsd:restriction base="dms:Choice">
              <xsd:enumeration value="SGI"/>
              <xsd:enumeration value="ARTER"/>
              <xsd:enumeration value="SHER"/>
              <xsd:enumeration value="GINGER"/>
              <xsd:enumeration value="SOGEC"/>
              <xsd:enumeration value="interne"/>
            </xsd:restriction>
          </xsd:simpleType>
        </xsd:union>
      </xsd:simpleType>
    </xsd:element>
    <xsd:element name="Etat" ma:index="25" nillable="true" ma:displayName="Etat" ma:format="Dropdown" ma:internalName="Etat">
      <xsd:simpleType>
        <xsd:restriction base="dms:Choice">
          <xsd:enumeration value="annulé"/>
          <xsd:enumeration value="100_identification"/>
          <xsd:enumeration value="200_MP études"/>
          <xsd:enumeration value="300_études"/>
          <xsd:enumeration value="400_Permis_Surveillance"/>
          <xsd:enumeration value="500_MP travaux"/>
          <xsd:enumeration value="600_travaux"/>
          <xsd:enumeration value="700_Terminé"/>
        </xsd:restriction>
      </xsd:simpleType>
    </xsd:element>
    <xsd:element name="Volet" ma:index="26" nillable="true" ma:displayName="Volet" ma:format="Dropdown" ma:internalName="Volet">
      <xsd:simpleType>
        <xsd:union memberTypes="dms:Text">
          <xsd:simpleType>
            <xsd:restriction base="dms:Choice">
              <xsd:enumeration value="FEE"/>
              <xsd:enumeration value="EduBase"/>
              <xsd:enumeration value="Santé"/>
              <xsd:enumeration value="AGRI"/>
              <xsd:enumeration value="REP"/>
              <xsd:enumeration value="JCC"/>
              <xsd:enumeration value="SECU"/>
              <xsd:enumeration value="GIFT"/>
              <xsd:enumeration value="APPINST"/>
            </xsd:restriction>
          </xsd:simpleType>
        </xsd:un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ssier" ma:index="29" nillable="true" ma:displayName="Dossier" ma:format="Dropdown" ma:internalName="Dossier">
      <xsd:simpleType>
        <xsd:restriction base="dms:Text">
          <xsd:maxLength value="255"/>
        </xsd:restriction>
      </xsd:simpleType>
    </xsd:element>
    <xsd:element name="Projet" ma:index="30" nillable="true" ma:displayName="Projet" ma:format="Dropdown" ma:internalName="Projet">
      <xsd:simpleType>
        <xsd:restriction base="dms:Text">
          <xsd:maxLength value="255"/>
        </xsd:restriction>
      </xsd:simpleType>
    </xsd:element>
    <xsd:element name="responsableInfra" ma:index="31" nillable="true" ma:displayName="responsable Infra" ma:format="Dropdown" ma:list="UserInfo" ma:SharePointGroup="0" ma:internalName="responsableInf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Infra" ma:index="32" nillable="true" ma:displayName="Resp Infra" ma:format="Dropdown" ma:list="UserInfo" ma:SharePointGroup="0" ma:internalName="RespInf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h_x00e8_me" ma:index="33" nillable="true" ma:displayName="thème" ma:format="Dropdown" ma:internalName="th_x00e8_me">
      <xsd:simpleType>
        <xsd:union memberTypes="dms:Text">
          <xsd:simpleType>
            <xsd:restriction base="dms:Choice">
              <xsd:enumeration value="materiaux"/>
              <xsd:enumeration value="technique"/>
              <xsd:enumeration value="guide"/>
            </xsd:restriction>
          </xsd:simpleType>
        </xsd:union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26663-edd4-44b0-b096-004a72f6092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e7c8723-040a-4328-8ec7-d94f50cc9a90}" ma:internalName="TaxCatchAll" ma:showField="CatchAllData" ma:web="a7726663-edd4-44b0-b096-004a72f6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D0AFC3-107B-4B3A-B4DE-9E8D059DFD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1E9359-D948-4793-9801-AAFE627A84A1}">
  <ds:schemaRefs>
    <ds:schemaRef ds:uri="http://schemas.microsoft.com/office/2006/metadata/properties"/>
    <ds:schemaRef ds:uri="http://schemas.microsoft.com/office/infopath/2007/PartnerControls"/>
    <ds:schemaRef ds:uri="a7726663-edd4-44b0-b096-004a72f6092b"/>
    <ds:schemaRef ds:uri="2988a375-6014-4440-b0c3-4b78d779195e"/>
  </ds:schemaRefs>
</ds:datastoreItem>
</file>

<file path=customXml/itemProps3.xml><?xml version="1.0" encoding="utf-8"?>
<ds:datastoreItem xmlns:ds="http://schemas.openxmlformats.org/officeDocument/2006/customXml" ds:itemID="{07D5FA4F-0D48-451A-94B9-FEC038CA5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8a375-6014-4440-b0c3-4b78d779195e"/>
    <ds:schemaRef ds:uri="a7726663-edd4-44b0-b096-004a72f60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LOT 1</vt:lpstr>
      <vt:lpstr>Lot 2</vt:lpstr>
      <vt:lpstr>Lot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MOLISHO LUKOMESHA TAMBWE, Charles</dc:creator>
  <cp:keywords/>
  <dc:description/>
  <cp:lastModifiedBy>TEMBO KLAT, Chico</cp:lastModifiedBy>
  <cp:revision/>
  <dcterms:created xsi:type="dcterms:W3CDTF">2024-04-15T08:55:03Z</dcterms:created>
  <dcterms:modified xsi:type="dcterms:W3CDTF">2026-03-27T10:30:43Z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0x010100309B6AFABC839B48A3E6F728B9285FC0</vt:lpwstr>
  </property>
  <property fmtid="{D5CDD505-2E9C-101B-9397-08002B2CF9AE}" pid="3" name="MediaServiceImageTags">
    <vt:lpwstr/>
  </property>
</Properties>
</file>