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100111_Climat/BFA21001-10092 Construction d’infrastructures de renforcement/2_CSC/"/>
    </mc:Choice>
  </mc:AlternateContent>
  <xr:revisionPtr revIDLastSave="398" documentId="13_ncr:1_{BAE3BC41-3A52-4496-B937-684000FF6AA7}" xr6:coauthVersionLast="47" xr6:coauthVersionMax="47" xr10:uidLastSave="{C4566C9C-463B-476F-AE18-AD4D57348E95}"/>
  <bookViews>
    <workbookView xWindow="-108" yWindow="-108" windowWidth="23256" windowHeight="12456" tabRatio="818" xr2:uid="{00000000-000D-0000-FFFF-FFFF00000000}"/>
  </bookViews>
  <sheets>
    <sheet name="DEVIS " sheetId="12" r:id="rId1"/>
    <sheet name="Feuil3" sheetId="8" state="hidden" r:id="rId2"/>
    <sheet name="MTX" sheetId="7" state="hidden" r:id="rId3"/>
  </sheets>
  <definedNames>
    <definedName name="_xlnm.Print_Titles" localSheetId="0">'DEVIS '!$1:$1</definedName>
    <definedName name="_xlnm.Print_Area" localSheetId="0">'DEVIS '!$A$1:$F$212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9" i="12" l="1"/>
  <c r="F280" i="12"/>
  <c r="F281" i="12"/>
  <c r="F282" i="12"/>
  <c r="F283" i="12"/>
  <c r="F284" i="12"/>
  <c r="F285" i="12"/>
  <c r="F286" i="12"/>
  <c r="F287" i="12"/>
  <c r="F278" i="12"/>
  <c r="F288" i="12" s="1"/>
  <c r="F266" i="12"/>
  <c r="F267" i="12"/>
  <c r="F268" i="12"/>
  <c r="F269" i="12"/>
  <c r="F270" i="12"/>
  <c r="F271" i="12"/>
  <c r="F272" i="12"/>
  <c r="F273" i="12"/>
  <c r="F274" i="12"/>
  <c r="F275" i="12"/>
  <c r="F265" i="12"/>
  <c r="F259" i="12"/>
  <c r="F260" i="12"/>
  <c r="F261" i="12"/>
  <c r="F262" i="12"/>
  <c r="F258" i="12"/>
  <c r="F263" i="12" s="1"/>
  <c r="F251" i="12"/>
  <c r="F252" i="12" s="1"/>
  <c r="F248" i="12"/>
  <c r="F249" i="12" s="1"/>
  <c r="F247" i="12"/>
  <c r="F244" i="12"/>
  <c r="F243" i="12"/>
  <c r="F245" i="12" s="1"/>
  <c r="F234" i="12"/>
  <c r="F235" i="12"/>
  <c r="F236" i="12"/>
  <c r="F237" i="12"/>
  <c r="F238" i="12"/>
  <c r="F239" i="12"/>
  <c r="F240" i="12"/>
  <c r="F233" i="12"/>
  <c r="F225" i="12"/>
  <c r="F226" i="12"/>
  <c r="F231" i="12" s="1"/>
  <c r="F227" i="12"/>
  <c r="F228" i="12"/>
  <c r="F229" i="12"/>
  <c r="F230" i="12"/>
  <c r="F224" i="12"/>
  <c r="F216" i="12"/>
  <c r="F217" i="12"/>
  <c r="F218" i="12"/>
  <c r="F219" i="12"/>
  <c r="F220" i="12"/>
  <c r="F221" i="12"/>
  <c r="F215" i="12"/>
  <c r="F222" i="12" s="1"/>
  <c r="F255" i="12"/>
  <c r="F254" i="12"/>
  <c r="F256" i="12" s="1"/>
  <c r="F276" i="12" l="1"/>
  <c r="F241" i="12"/>
  <c r="F289" i="12"/>
  <c r="F209" i="12"/>
  <c r="F210" i="12" s="1"/>
  <c r="F206" i="12"/>
  <c r="F207" i="12" s="1"/>
  <c r="F203" i="12"/>
  <c r="F204" i="12" s="1"/>
  <c r="F199" i="12"/>
  <c r="F200" i="12"/>
  <c r="F198" i="12"/>
  <c r="F201" i="12" s="1"/>
  <c r="F189" i="12"/>
  <c r="F196" i="12" s="1"/>
  <c r="F190" i="12"/>
  <c r="F191" i="12"/>
  <c r="F192" i="12"/>
  <c r="F193" i="12"/>
  <c r="F194" i="12"/>
  <c r="F195" i="12"/>
  <c r="F188" i="12"/>
  <c r="F182" i="12"/>
  <c r="F183" i="12"/>
  <c r="F184" i="12"/>
  <c r="F181" i="12"/>
  <c r="F185" i="12" s="1"/>
  <c r="F174" i="12"/>
  <c r="F175" i="12"/>
  <c r="F173" i="12"/>
  <c r="F176" i="12" s="1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8" i="12"/>
  <c r="F159" i="12"/>
  <c r="F160" i="12"/>
  <c r="F161" i="12"/>
  <c r="F162" i="12"/>
  <c r="F163" i="12"/>
  <c r="F124" i="12"/>
  <c r="F115" i="12"/>
  <c r="F119" i="12"/>
  <c r="F72" i="12"/>
  <c r="F73" i="12"/>
  <c r="F74" i="12"/>
  <c r="F75" i="12"/>
  <c r="F76" i="12"/>
  <c r="F77" i="12"/>
  <c r="F78" i="12"/>
  <c r="F79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104" i="12"/>
  <c r="F105" i="12"/>
  <c r="F106" i="12"/>
  <c r="F107" i="12"/>
  <c r="F108" i="12"/>
  <c r="F109" i="12"/>
  <c r="F110" i="12"/>
  <c r="F71" i="12"/>
  <c r="F62" i="12"/>
  <c r="F63" i="12"/>
  <c r="F64" i="12"/>
  <c r="F65" i="12"/>
  <c r="F61" i="12"/>
  <c r="F53" i="12"/>
  <c r="F54" i="12"/>
  <c r="F39" i="12"/>
  <c r="F40" i="12"/>
  <c r="F41" i="12"/>
  <c r="F42" i="12"/>
  <c r="F43" i="12"/>
  <c r="F44" i="12"/>
  <c r="F45" i="12"/>
  <c r="F46" i="12"/>
  <c r="F47" i="12"/>
  <c r="F38" i="12"/>
  <c r="F34" i="12"/>
  <c r="F8" i="12"/>
  <c r="F7" i="12"/>
  <c r="F4" i="12"/>
  <c r="F5" i="12" s="1"/>
  <c r="F164" i="12" l="1"/>
  <c r="F66" i="12"/>
  <c r="F48" i="12"/>
  <c r="F52" i="12"/>
  <c r="F51" i="12"/>
  <c r="F50" i="12"/>
  <c r="D209" i="12"/>
  <c r="D198" i="12"/>
  <c r="D195" i="12"/>
  <c r="D194" i="12"/>
  <c r="D193" i="12"/>
  <c r="D191" i="12"/>
  <c r="D190" i="12"/>
  <c r="D189" i="12"/>
  <c r="D188" i="12"/>
  <c r="D184" i="12"/>
  <c r="D182" i="12"/>
  <c r="D181" i="12"/>
  <c r="F157" i="12"/>
  <c r="F55" i="12" l="1"/>
  <c r="D183" i="12"/>
  <c r="D32" i="12"/>
  <c r="F32" i="12" s="1"/>
  <c r="F211" i="12" l="1"/>
  <c r="D58" i="12"/>
  <c r="F58" i="12" s="1"/>
  <c r="D57" i="12"/>
  <c r="F57" i="12" s="1"/>
  <c r="D35" i="12"/>
  <c r="F35" i="12" s="1"/>
  <c r="F59" i="12" l="1"/>
  <c r="D170" i="12"/>
  <c r="F170" i="12" s="1"/>
  <c r="D169" i="12"/>
  <c r="F169" i="12" s="1"/>
  <c r="D168" i="12"/>
  <c r="F168" i="12" s="1"/>
  <c r="D166" i="12"/>
  <c r="F166" i="12" s="1"/>
  <c r="D167" i="12"/>
  <c r="F167" i="12" s="1"/>
  <c r="D31" i="12"/>
  <c r="F31" i="12" s="1"/>
  <c r="D33" i="12"/>
  <c r="F33" i="12" s="1"/>
  <c r="D30" i="12"/>
  <c r="F30" i="12" s="1"/>
  <c r="D29" i="12"/>
  <c r="F29" i="12" s="1"/>
  <c r="D28" i="12"/>
  <c r="F28" i="12" s="1"/>
  <c r="D27" i="12"/>
  <c r="F27" i="12" s="1"/>
  <c r="D25" i="12"/>
  <c r="F25" i="12" s="1"/>
  <c r="D24" i="12"/>
  <c r="F24" i="12" s="1"/>
  <c r="D23" i="12"/>
  <c r="F23" i="12" s="1"/>
  <c r="D22" i="12"/>
  <c r="F22" i="12" s="1"/>
  <c r="D21" i="12"/>
  <c r="F21" i="12" s="1"/>
  <c r="D20" i="12"/>
  <c r="F20" i="12" s="1"/>
  <c r="D19" i="12"/>
  <c r="F19" i="12" s="1"/>
  <c r="D18" i="12"/>
  <c r="F18" i="12" s="1"/>
  <c r="D17" i="12"/>
  <c r="F17" i="12" s="1"/>
  <c r="D13" i="12"/>
  <c r="F13" i="12" s="1"/>
  <c r="D12" i="12"/>
  <c r="F12" i="12" s="1"/>
  <c r="D10" i="12"/>
  <c r="F10" i="12" s="1"/>
  <c r="D9" i="12"/>
  <c r="F9" i="12" s="1"/>
  <c r="F171" i="12" l="1"/>
  <c r="F36" i="12"/>
  <c r="D11" i="12"/>
  <c r="F11" i="12" s="1"/>
  <c r="F14" i="12" s="1"/>
  <c r="D111" i="12"/>
  <c r="F111" i="12" s="1"/>
  <c r="D80" i="12"/>
  <c r="F80" i="12" s="1"/>
  <c r="D117" i="12"/>
  <c r="F117" i="12" s="1"/>
  <c r="D116" i="12"/>
  <c r="F116" i="12" s="1"/>
  <c r="D101" i="12" l="1"/>
  <c r="F101" i="12" s="1"/>
  <c r="D100" i="12"/>
  <c r="F100" i="12" s="1"/>
  <c r="D99" i="12"/>
  <c r="F99" i="12" s="1"/>
  <c r="D98" i="12"/>
  <c r="D103" i="12" l="1"/>
  <c r="F103" i="12" s="1"/>
  <c r="F98" i="12"/>
  <c r="D102" i="12"/>
  <c r="F102" i="12" s="1"/>
  <c r="F112" i="12" l="1"/>
  <c r="D114" i="12"/>
  <c r="F114" i="12" s="1"/>
  <c r="D118" i="12"/>
  <c r="F118" i="12" s="1"/>
  <c r="G7" i="7"/>
  <c r="E7" i="7"/>
  <c r="D14" i="7"/>
  <c r="L14" i="7" s="1"/>
  <c r="D13" i="7"/>
  <c r="K13" i="7" s="1"/>
  <c r="E15" i="7"/>
  <c r="G69" i="7"/>
  <c r="F15" i="7"/>
  <c r="G14" i="7"/>
  <c r="F14" i="7"/>
  <c r="E14" i="7"/>
  <c r="G13" i="7"/>
  <c r="H12" i="7"/>
  <c r="H17" i="7"/>
  <c r="H18" i="7" s="1"/>
  <c r="F7" i="7"/>
  <c r="F10" i="7"/>
  <c r="F11" i="7" s="1"/>
  <c r="D4" i="8"/>
  <c r="F4" i="8"/>
  <c r="D3" i="8"/>
  <c r="F3" i="8"/>
  <c r="H8" i="7"/>
  <c r="H10" i="7" s="1"/>
  <c r="H11" i="7" s="1"/>
  <c r="C11" i="8"/>
  <c r="F2" i="8"/>
  <c r="D2" i="8"/>
  <c r="D12" i="7"/>
  <c r="K12" i="7" s="1"/>
  <c r="K17" i="7" s="1"/>
  <c r="K18" i="7" s="1"/>
  <c r="D7" i="7"/>
  <c r="L7" i="7" s="1"/>
  <c r="D9" i="7"/>
  <c r="K9" i="7" s="1"/>
  <c r="D6" i="7"/>
  <c r="K6" i="7" s="1"/>
  <c r="K10" i="7" s="1"/>
  <c r="K11" i="7" s="1"/>
  <c r="D16" i="7"/>
  <c r="L16" i="7" s="1"/>
  <c r="D15" i="7"/>
  <c r="L15" i="7" s="1"/>
  <c r="D8" i="7"/>
  <c r="L8" i="7" s="1"/>
  <c r="F120" i="12" l="1"/>
  <c r="F177" i="12"/>
  <c r="F291" i="12" s="1"/>
  <c r="J12" i="7"/>
  <c r="J17" i="7" s="1"/>
  <c r="J18" i="7" s="1"/>
  <c r="K7" i="7"/>
  <c r="K15" i="7"/>
  <c r="J8" i="7"/>
  <c r="H19" i="7"/>
  <c r="G17" i="7"/>
  <c r="G18" i="7" s="1"/>
  <c r="K19" i="7"/>
  <c r="L12" i="7"/>
  <c r="L17" i="7" s="1"/>
  <c r="L18" i="7" s="1"/>
  <c r="D5" i="8"/>
  <c r="E8" i="7" s="1"/>
  <c r="E10" i="7" s="1"/>
  <c r="E11" i="7" s="1"/>
  <c r="J7" i="7"/>
  <c r="J13" i="7"/>
  <c r="F5" i="8"/>
  <c r="G6" i="7" s="1"/>
  <c r="L13" i="7"/>
  <c r="G9" i="7"/>
  <c r="K14" i="7"/>
  <c r="J9" i="7"/>
  <c r="L9" i="7"/>
  <c r="J14" i="7"/>
  <c r="K16" i="7"/>
  <c r="J16" i="7"/>
  <c r="F16" i="7"/>
  <c r="F17" i="7" s="1"/>
  <c r="F18" i="7" s="1"/>
  <c r="F19" i="7" s="1"/>
  <c r="L6" i="7"/>
  <c r="L10" i="7" s="1"/>
  <c r="L11" i="7" s="1"/>
  <c r="L19" i="7" s="1"/>
  <c r="J6" i="7"/>
  <c r="J10" i="7" s="1"/>
  <c r="J11" i="7" s="1"/>
  <c r="J19" i="7" s="1"/>
  <c r="E16" i="7"/>
  <c r="E17" i="7" s="1"/>
  <c r="E18" i="7" s="1"/>
  <c r="K8" i="7"/>
  <c r="G10" i="7" l="1"/>
  <c r="G11" i="7" s="1"/>
  <c r="G19" i="7" s="1"/>
  <c r="E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0,222</t>
        </r>
      </text>
    </comment>
    <comment ref="E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0,395</t>
        </r>
      </text>
    </comment>
    <comment ref="F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0,617</t>
        </r>
      </text>
    </comment>
    <comment ref="G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0,888</t>
        </r>
      </text>
    </comment>
    <comment ref="H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1,208</t>
        </r>
      </text>
    </comment>
  </commentList>
</comments>
</file>

<file path=xl/sharedStrings.xml><?xml version="1.0" encoding="utf-8"?>
<sst xmlns="http://schemas.openxmlformats.org/spreadsheetml/2006/main" count="812" uniqueCount="509">
  <si>
    <t>N°</t>
  </si>
  <si>
    <t>DESIGNATION</t>
  </si>
  <si>
    <t>Unités</t>
  </si>
  <si>
    <t>Qantités</t>
  </si>
  <si>
    <t>P. Unitaires</t>
  </si>
  <si>
    <t>P. Total</t>
  </si>
  <si>
    <t>I</t>
  </si>
  <si>
    <t>BATIMENT ET INSTALLATION SOLAIRE</t>
  </si>
  <si>
    <t>INSTALLATION DE CHANTIER &amp; TRAVAUX PREPARATOIRES</t>
  </si>
  <si>
    <t>1.1</t>
  </si>
  <si>
    <t>Installation de chantier comprenant amenée et repli du matériel, abris de chantier équipé, clôture provisoire, dossier d'exécution/recollement, panneaux de chantier, éssais sur matériaux, frais divers</t>
  </si>
  <si>
    <t>ens</t>
  </si>
  <si>
    <t>Sous total I.1</t>
  </si>
  <si>
    <t>TERRASSEMENTS GENERAUX</t>
  </si>
  <si>
    <t xml:space="preserve"> </t>
  </si>
  <si>
    <t>2.1</t>
  </si>
  <si>
    <t>Décapage de la terre végétale y compris abattage, déssouchage d'arbres sur l'emprise des ouvrages,  mise en dépôt, nivellement et toutes sujétions d'enlèvement hors site</t>
  </si>
  <si>
    <t>m²</t>
  </si>
  <si>
    <t>2.3</t>
  </si>
  <si>
    <t>Implantation de l'ouvrage y compris annexes par un géométre agrée</t>
  </si>
  <si>
    <t>2.4</t>
  </si>
  <si>
    <t>Excavation des fouilles en puits</t>
  </si>
  <si>
    <t>m³</t>
  </si>
  <si>
    <t>2.5</t>
  </si>
  <si>
    <t>Excavation des fouilles en rigole</t>
  </si>
  <si>
    <t>2.6</t>
  </si>
  <si>
    <t>Remblai sans apport à compacter par couches successives de 20 cm d'épaisseur, compacté à 95% de l'OPM en fondation,pour comblement des fouilles en excavation des semelles isolées et toutes sujétions de mise en œuvre</t>
  </si>
  <si>
    <t>2.7</t>
  </si>
  <si>
    <t>Remblai avec apport en terre latéritique à compacter par couches successives de 20 cm d'épaisseur, compacté à 95% de l'OPM en fondation,pour comblement des fouilles en excavation des semelles isolées et toutes sujétions de mise en œuvre</t>
  </si>
  <si>
    <t>2.8</t>
  </si>
  <si>
    <t xml:space="preserve">Traitement préventif et curatif (sol extérieurs, structures murs périphériques,  structures murs de refends) au protocole SBPS/BPC-Termites 05 </t>
  </si>
  <si>
    <t>Sous total I.2</t>
  </si>
  <si>
    <t>BETONS NON ARMES ET BETONS ARMES</t>
  </si>
  <si>
    <t>3.1</t>
  </si>
  <si>
    <t>Fondations / infrastructures</t>
  </si>
  <si>
    <t>3.1.1</t>
  </si>
  <si>
    <t xml:space="preserve">Béton de propreté dosé à 150 kg/m3  de CPA 45 de 5 cm d'épaisseur </t>
  </si>
  <si>
    <t>3.1.2</t>
  </si>
  <si>
    <t>Béton armé pour semelles isolées;  dosé à 350 kg/m3 de CPA 45, armatures et toutes sujétions</t>
  </si>
  <si>
    <t>3.1.3</t>
  </si>
  <si>
    <t>Béton pour Semelles filantes  dosé à 350 kg/m3 de CPA 45 et toutes sujétions</t>
  </si>
  <si>
    <t>3.1.4</t>
  </si>
  <si>
    <t>Béton armé pour les parties enterrées des poteaux dosé à 350  kg/m3 de CPA 45, compris coffrage, armature et toutes sujétions</t>
  </si>
  <si>
    <t>3.1.5</t>
  </si>
  <si>
    <t>Maçonnerie en agglos pleins de 20 cm d'épaisseur en soubassement suivant plans de fondations</t>
  </si>
  <si>
    <t>3.1.6</t>
  </si>
  <si>
    <t>Béton armé pour longrines dosé à 350 kg/m3 de CPA 45 compris coffrage, ferraillage</t>
  </si>
  <si>
    <t>3.1.7</t>
  </si>
  <si>
    <t>Béton armé pour bêches, formes de rampes, emmarchements et parois du bac à  fleurs, dosé à 350 kg/m3 de CPA 45 compris coffrage et armatures</t>
  </si>
  <si>
    <t>3.1.8</t>
  </si>
  <si>
    <t>Béton armé dosé à 350 kg/m3 de CPA 45 pour aire de dallage de 10 cm d'épaisseur y compri renfort sous dallage, y compris joint de retrait, joint de construction, arrêt de dallage, etc.</t>
  </si>
  <si>
    <t>3.1.9</t>
  </si>
  <si>
    <t xml:space="preserve">Film polyane avec large recouvrements sous tous les dallages, y compris lit de sable de 5 cm d'épaisseur sous aire de dallage </t>
  </si>
  <si>
    <t>3.2</t>
  </si>
  <si>
    <t>Bétons armés en superstructure</t>
  </si>
  <si>
    <t>3.2.1</t>
  </si>
  <si>
    <t>Béton armé pour poteaux et raidisseurs verticaux  dosé à 350 kg/m3 de CPA 45 y compris coffrage, armatures et toutes sujétions</t>
  </si>
  <si>
    <t>3.2.2</t>
  </si>
  <si>
    <t>Béton armé pour appui des baies dosé à 350 kg/m3 de CPA 45, y compris coffrage, armatures et toutes sujétions</t>
  </si>
  <si>
    <t>3.2.3</t>
  </si>
  <si>
    <t>Béton armé pour linteaux et chainages horizontaux dosé à 350 kg/m3 de CPA 45 y compris coffrage, armatures et toutes sujétions</t>
  </si>
  <si>
    <t>3.2.4</t>
  </si>
  <si>
    <t>Béton armé pour rempant dosé à 350 kg/m3 de CPA 45 y compris coffrage, armatures et toutes sujétions</t>
  </si>
  <si>
    <t>3.2.5</t>
  </si>
  <si>
    <t>Béton armé pour chainages dosé à 350 kg/m3 de CPA 45 y compris coffrage, armatures et toutes sujétions</t>
  </si>
  <si>
    <t>3.2.6</t>
  </si>
  <si>
    <t>Béton armé pour appuis de tole dosé à 350 kg/m3 de CPA 45 y compris coffrage, armatures et toutes sujétions</t>
  </si>
  <si>
    <t>3.2.7</t>
  </si>
  <si>
    <t>Béton armé dosé à 350 kg/m3 de CPA 45 pour paillasses et banquettes</t>
  </si>
  <si>
    <t>3.2.8</t>
  </si>
  <si>
    <t>Réalisation de socle en béton non moulé pour paillasse en béton non armé</t>
  </si>
  <si>
    <t>3.2.9</t>
  </si>
  <si>
    <t>Bande anti érosive de perré maçonné en pierres granitiques</t>
  </si>
  <si>
    <t>Sous total I.3</t>
  </si>
  <si>
    <t>MACONNERIE - ENDUITS</t>
  </si>
  <si>
    <t>4.1</t>
  </si>
  <si>
    <t>Maçonnerie d'agglos creux de 20 x 20 x 40</t>
  </si>
  <si>
    <t>4.2</t>
  </si>
  <si>
    <t>Maçonnerie d'agglos creux de 15 x 20 x 40</t>
  </si>
  <si>
    <t>4.3</t>
  </si>
  <si>
    <t>Maçonnerie d'agglos pleins de 10 x 20 x 40</t>
  </si>
  <si>
    <t>4.4</t>
  </si>
  <si>
    <t>Maçonnerie de claustras</t>
  </si>
  <si>
    <t>4.5</t>
  </si>
  <si>
    <t>Claustrat d'aération muni de grilles anti-animaux</t>
  </si>
  <si>
    <t>u</t>
  </si>
  <si>
    <t>4.6</t>
  </si>
  <si>
    <t>Brique de terre comprimée (BTC) et stabilisée y compris module en U pour chainage haut et appuis de baies, module de passage des fourreautages et fileries, barrière d'étanchéité à la base et toute sujetions de pose</t>
  </si>
  <si>
    <t>4.7</t>
  </si>
  <si>
    <t>Enduit intérieur lissé sur mur</t>
  </si>
  <si>
    <t>4.8</t>
  </si>
  <si>
    <t>Enduit extérieur taloché vertical sur mur et sous face dalle, paillasse/banquette y compris sur enduits et éléments décoratifs</t>
  </si>
  <si>
    <t>4.9</t>
  </si>
  <si>
    <t>Raccordement et calfeutrement des ouvertures</t>
  </si>
  <si>
    <t>Ft</t>
  </si>
  <si>
    <t>4.10</t>
  </si>
  <si>
    <t>Muret de perré maçonné en pierres granitiques</t>
  </si>
  <si>
    <t>Sous total I.4</t>
  </si>
  <si>
    <t>MENUISERIE ALUMINIUM - BOIS - METALLIQUE</t>
  </si>
  <si>
    <t>5.1</t>
  </si>
  <si>
    <r>
      <rPr>
        <b/>
        <sz val="10.5"/>
        <rFont val="Georgia"/>
        <family val="1"/>
      </rPr>
      <t>CAVCGMP1:</t>
    </r>
    <r>
      <rPr>
        <sz val="10.5"/>
        <rFont val="Georgia"/>
        <family val="1"/>
      </rPr>
      <t xml:space="preserve"> Chassis aluminium vitré de 120X170 à 02 battants identiques coulissants avec grille métallique de protection et grille anti-moustiques</t>
    </r>
  </si>
  <si>
    <t>5.2</t>
  </si>
  <si>
    <r>
      <rPr>
        <b/>
        <sz val="10.5"/>
        <rFont val="Georgia"/>
        <family val="1"/>
      </rPr>
      <t>CAVCGMP2:</t>
    </r>
    <r>
      <rPr>
        <sz val="10.5"/>
        <rFont val="Georgia"/>
        <family val="1"/>
      </rPr>
      <t xml:space="preserve"> Chassis aluminium vitré de 120X100 à 02 battants identiques coulissants avec grille métallique de protection et grille anti-moustiques</t>
    </r>
  </si>
  <si>
    <t>5.3</t>
  </si>
  <si>
    <r>
      <rPr>
        <b/>
        <sz val="10.5"/>
        <rFont val="Georgia"/>
        <family val="1"/>
      </rPr>
      <t>CAVCGMP3:</t>
    </r>
    <r>
      <rPr>
        <sz val="10.5"/>
        <rFont val="Georgia"/>
        <family val="1"/>
      </rPr>
      <t xml:space="preserve"> Chassis aluminium vitré de 60X60 à 02 battants identiques coulissants avec grille métallique de protection et grille anti-moustiques</t>
    </r>
  </si>
  <si>
    <t>5.4</t>
  </si>
  <si>
    <r>
      <rPr>
        <b/>
        <sz val="10.5"/>
        <rFont val="Georgia"/>
        <family val="1"/>
      </rPr>
      <t>PBS1 :</t>
    </r>
    <r>
      <rPr>
        <sz val="10.5"/>
        <rFont val="Georgia"/>
        <family val="1"/>
      </rPr>
      <t xml:space="preserve"> Porte en bois stratifié de 90x220 à 01 battant </t>
    </r>
  </si>
  <si>
    <t>5.5</t>
  </si>
  <si>
    <r>
      <rPr>
        <b/>
        <sz val="10.5"/>
        <rFont val="Georgia"/>
        <family val="1"/>
      </rPr>
      <t>PMVGMP1 :</t>
    </r>
    <r>
      <rPr>
        <sz val="10.5"/>
        <rFont val="Georgia"/>
        <family val="1"/>
      </rPr>
      <t xml:space="preserve"> Porte métallique vitrée de 120x220 à 02 battants inégaux de 80 et 40 y compris grille métallique de protection</t>
    </r>
  </si>
  <si>
    <t>Sous total I.5</t>
  </si>
  <si>
    <t>ETANCHEITE</t>
  </si>
  <si>
    <t>6.1</t>
  </si>
  <si>
    <t>Flinkote sur enduit extérieur du soubassement</t>
  </si>
  <si>
    <t>6.2</t>
  </si>
  <si>
    <t>Etancheite en hyerene aux niveaux des appuis de tole et releve avec un releve de 50cm</t>
  </si>
  <si>
    <t>Sous total I.6</t>
  </si>
  <si>
    <t>REVETEMENTS SCELLES ET COLLES</t>
  </si>
  <si>
    <t>7.1</t>
  </si>
  <si>
    <t>Carreaux grès cérame ordinaire 60x60 pour sol y compris plinthes</t>
  </si>
  <si>
    <t>7.2</t>
  </si>
  <si>
    <t>Carreaux grès cérame ordinaire 30x30 pour sol des toilettes, térrasses et coursives extérieures</t>
  </si>
  <si>
    <t>7.3</t>
  </si>
  <si>
    <t>Carreaux grès cérame ordinaire 20x 20 pour paillasses y compris plinthes et jambages</t>
  </si>
  <si>
    <t>7.4</t>
  </si>
  <si>
    <t xml:space="preserve">Faïence 60x30 pour murs sur une hauteur de 2,2m  </t>
  </si>
  <si>
    <t>7.5</t>
  </si>
  <si>
    <t>Revêtement chape de ciment bouchardée</t>
  </si>
  <si>
    <t>Sous total I.7</t>
  </si>
  <si>
    <t>ASSAINISSEMENT ET PLOMBERIE SANITAIRE</t>
  </si>
  <si>
    <t>8.1</t>
  </si>
  <si>
    <t>VRD</t>
  </si>
  <si>
    <t>8.1.1</t>
  </si>
  <si>
    <t>RESEAU D'ALIMENTATION</t>
  </si>
  <si>
    <t xml:space="preserve">Fournitures et pose de tuyauterie PEHD PN 10 pour l'alimentation principale des salles d'eau y compris accessoires de pose de raccordement et toutes sujétions </t>
  </si>
  <si>
    <t>8.1.1.1</t>
  </si>
  <si>
    <t>Diamètre 32</t>
  </si>
  <si>
    <t>ml</t>
  </si>
  <si>
    <t>8.1.1.2</t>
  </si>
  <si>
    <t>Diamètre 25</t>
  </si>
  <si>
    <t>8.1.1.3</t>
  </si>
  <si>
    <t>Fouille en tranchée y compris grillage avertisseur de couleur bleu</t>
  </si>
  <si>
    <t>8.1.1.4</t>
  </si>
  <si>
    <t>Raccordement au réseau existant</t>
  </si>
  <si>
    <t>8.1.1.5</t>
  </si>
  <si>
    <t>Equipement pour la mise en place d'un By-pass entre le compteur ONEA et le forage</t>
  </si>
  <si>
    <t>8.1.2</t>
  </si>
  <si>
    <t>RESEAU D'EVACUATION DES EU EV ET EP</t>
  </si>
  <si>
    <t>Tuyauteries d'évacuation des eaux usées et des eaux vannes y compris Fouille, accessoires de pose,  raccordements et toutes sujétion</t>
  </si>
  <si>
    <t>8.1.2.1</t>
  </si>
  <si>
    <t>PVC diamètre 110</t>
  </si>
  <si>
    <t>8.1.2.2</t>
  </si>
  <si>
    <t>PVC diamètre 100</t>
  </si>
  <si>
    <t>8.1.2.3</t>
  </si>
  <si>
    <t>8.1.2.4</t>
  </si>
  <si>
    <t>Regards sphoïdes pour les eaux usées</t>
  </si>
  <si>
    <t>8.1.2.5</t>
  </si>
  <si>
    <t>Receptacles des eaux pluviales</t>
  </si>
  <si>
    <t>8.1.2.6</t>
  </si>
  <si>
    <t>Construction d'une fosse septique de 15 Usagers</t>
  </si>
  <si>
    <t>8.1.2.7</t>
  </si>
  <si>
    <t>Puits perdu de 3 m de diamètre y compris tuyau de vidange de Ø 200, remplissage aux moellons et dalle</t>
  </si>
  <si>
    <t>8.2</t>
  </si>
  <si>
    <t>BÂTIMENT</t>
  </si>
  <si>
    <t>8.2.1</t>
  </si>
  <si>
    <t>8.2.1.1</t>
  </si>
  <si>
    <t xml:space="preserve">Fournitures et pose de tuyauterie PPR pour l'alimentation intérieure des salles d'eau y compris accessoires de pose de raccordement et toutes sujétions </t>
  </si>
  <si>
    <t>8.2.1.2</t>
  </si>
  <si>
    <t>8.2.1.3</t>
  </si>
  <si>
    <t>Vanne d'arrêt DN 25</t>
  </si>
  <si>
    <t>8.2.2</t>
  </si>
  <si>
    <t>APPAREILS ET ACCESSOIRES SANITAIRES</t>
  </si>
  <si>
    <t>8.2.2.1</t>
  </si>
  <si>
    <t>Fournitures et pose des appareils sanitaires y compris raccordement et toutes sujétions</t>
  </si>
  <si>
    <t>8.2.2.1.1</t>
  </si>
  <si>
    <t>Lavabo sur colonne y compris robinet eau froide</t>
  </si>
  <si>
    <t>8.2.2.1.2</t>
  </si>
  <si>
    <t xml:space="preserve">WC à l'anglaise </t>
  </si>
  <si>
    <t>8.2.2.1.3</t>
  </si>
  <si>
    <t>Evier double bacs en porcelaine y compris son robinet eau froide</t>
  </si>
  <si>
    <t>8.2.2.1.4</t>
  </si>
  <si>
    <t>Robinet de puisage 15/21</t>
  </si>
  <si>
    <t>8.2.2.2</t>
  </si>
  <si>
    <t>Fournitures et pose d'accessoires sanitaires</t>
  </si>
  <si>
    <t>8.2.2.2.1</t>
  </si>
  <si>
    <t xml:space="preserve">Miroir 500 x 700 </t>
  </si>
  <si>
    <t>8.2.2.2.2</t>
  </si>
  <si>
    <t xml:space="preserve">Porte papier hygiénique </t>
  </si>
  <si>
    <t>8.2.2.2.3</t>
  </si>
  <si>
    <t>Porte balaie pour wc</t>
  </si>
  <si>
    <t>8.2.2.2.4</t>
  </si>
  <si>
    <t xml:space="preserve">Porte serviette à une branche </t>
  </si>
  <si>
    <t>8.2.2.2.5</t>
  </si>
  <si>
    <t xml:space="preserve">Porte savon </t>
  </si>
  <si>
    <t>8.2.2.2.6</t>
  </si>
  <si>
    <t xml:space="preserve">Tablette de Lavabo </t>
  </si>
  <si>
    <t>8.2.2.2.7</t>
  </si>
  <si>
    <t>siphon de sol DN 40 en inox</t>
  </si>
  <si>
    <t>8.2.3</t>
  </si>
  <si>
    <t>8.2.3.1</t>
  </si>
  <si>
    <t>Tuyauteries d'évacuation des eaux usées et des eaux vannes y compris accessoires de pose,  raccordements et toutes sujétions</t>
  </si>
  <si>
    <t>8.2.3.1.1</t>
  </si>
  <si>
    <t>8.2.3.1.2</t>
  </si>
  <si>
    <t>PVC diamètre 75</t>
  </si>
  <si>
    <t>8.2.3.1.3</t>
  </si>
  <si>
    <t>PVC diamètre 32</t>
  </si>
  <si>
    <t>8.2.3.2</t>
  </si>
  <si>
    <t>Tuyauteries d'évacuation des eaux pluiviale y compris accessoires de pose,  raccordements et toutes et toutes sujétions comprises</t>
  </si>
  <si>
    <t>8.2.3.2.1</t>
  </si>
  <si>
    <t>PVC diamètre 125</t>
  </si>
  <si>
    <t>Sous total I.8</t>
  </si>
  <si>
    <t>PEINTURE ET FAUX PLAFOND</t>
  </si>
  <si>
    <t>9.1</t>
  </si>
  <si>
    <t>Peinture acrylique lavable sur enduit de lissage</t>
  </si>
  <si>
    <t>9.2</t>
  </si>
  <si>
    <t>Peinture glycérophtalique sur menuiserie métallique et ouvrage métallique</t>
  </si>
  <si>
    <t>9.3</t>
  </si>
  <si>
    <t>Enduit plastique type marmorex sur enduit extérieur</t>
  </si>
  <si>
    <t>9.4</t>
  </si>
  <si>
    <t>Vernis acrylique de protection pour support pierre/ brique</t>
  </si>
  <si>
    <t>9.5</t>
  </si>
  <si>
    <t>Peinture vinylique sur faux plafond en staff lisse</t>
  </si>
  <si>
    <t>9.6</t>
  </si>
  <si>
    <t>Faux plafond en staff lisse</t>
  </si>
  <si>
    <t>Sous total I.9</t>
  </si>
  <si>
    <t>ELECTRICITE COURANT FORT_ CLIMATISATION ET VENTILATION_ SECURITE INCENDIE_ VIDEO-PROJECTEUR_CENTRALE SOLAIRE PHOTOVOLTAIQUE</t>
  </si>
  <si>
    <t>10.1</t>
  </si>
  <si>
    <t>ELECTRICITE COURANT FORT</t>
  </si>
  <si>
    <t>10.1.1</t>
  </si>
  <si>
    <t>RESEAU ELECTRIQUE</t>
  </si>
  <si>
    <t>10.1.1.1</t>
  </si>
  <si>
    <t xml:space="preserve">Fourniture, pose et mise à la terre générale par piquet de terre par câblette cuivre de 29 mm² pour la prise de terre des masses, y compris liaisons effectives de toutes les masses métalliques du bâtiment et liaison à la prise de terre du paratonnerre et toutes sujétions </t>
  </si>
  <si>
    <t>Ens</t>
  </si>
  <si>
    <t>10.1.1.2</t>
  </si>
  <si>
    <t>Fourniture et pose d'un ensemble de fourreautage en tube ICTA, filerie et cablerie encastré y compris boîtes de tirage, boîtes d'encastrement, les amenées d'énergie au droit des interrupteurs, d' appareils d'éclairage, de prises de courant, des appareils et appareillages de climatisation et ventilation  etc., y compris toute sujétion pour la réalisation complète des installations électriques intérieurs du batiment.</t>
  </si>
  <si>
    <t>10.1.1.3</t>
  </si>
  <si>
    <t>Fourniture et pose d'un coffret électrique AC de 64 modules encastré équipée y compris toutes sujétions</t>
  </si>
  <si>
    <t>10.1.2</t>
  </si>
  <si>
    <t>FOURNITURE ET POSE DES APPAREILS Y COMPRIS CONTRÔLE DE MISE EN FONCTIONNEMENT</t>
  </si>
  <si>
    <t>10.1.2.1</t>
  </si>
  <si>
    <t>Luminaire type réglette LED suspendue de 120cm</t>
  </si>
  <si>
    <t>10.1.2.2</t>
  </si>
  <si>
    <t xml:space="preserve">Luminaire type Hublot </t>
  </si>
  <si>
    <t>10.1.2.3</t>
  </si>
  <si>
    <t xml:space="preserve">Applique sanitaire </t>
  </si>
  <si>
    <t>10.1.2.4</t>
  </si>
  <si>
    <t xml:space="preserve">Luminaire type Spot LED 12W </t>
  </si>
  <si>
    <t>10.1.2.5</t>
  </si>
  <si>
    <t xml:space="preserve">Luminaire type Spot LED 6W </t>
  </si>
  <si>
    <t>10.1.2.6</t>
  </si>
  <si>
    <t xml:space="preserve">Projecteur solaire 100W </t>
  </si>
  <si>
    <t>10.1.3</t>
  </si>
  <si>
    <t>FOURNITURE ET POSE DE PETITS APPAREILLAGES ELECTRIQUES Y COMPRIS CONTRÔLE DE MISE EN FONCTIONNEMENT</t>
  </si>
  <si>
    <t>10.1.3.1</t>
  </si>
  <si>
    <t>Mécanisme va-et-vient double allumage encastré</t>
  </si>
  <si>
    <t>10.1.3.2</t>
  </si>
  <si>
    <t xml:space="preserve">Mécanisme va-et-vient simple allumage encastré </t>
  </si>
  <si>
    <t>10.1.3.3</t>
  </si>
  <si>
    <t xml:space="preserve">Mécanisme étanche va-et-vient simple allumage encastré </t>
  </si>
  <si>
    <t>10.1.3.4</t>
  </si>
  <si>
    <t xml:space="preserve">Mécanisme étanche simple allumage encastré </t>
  </si>
  <si>
    <t>10.1.3.5</t>
  </si>
  <si>
    <t>Mécanisme simple allumage encastré</t>
  </si>
  <si>
    <t>10.1.3.6</t>
  </si>
  <si>
    <t xml:space="preserve">Prise de courant 2P+T encastré </t>
  </si>
  <si>
    <t>10.1.3.7</t>
  </si>
  <si>
    <t>Prise de courant 2P+T étanche encastré</t>
  </si>
  <si>
    <t>10.2</t>
  </si>
  <si>
    <t>CLIMATISATION &amp; VENTILATION</t>
  </si>
  <si>
    <t>10.2.1</t>
  </si>
  <si>
    <t>Fourniture et pose Climatiseur split 2 CV Inverter y compris tuyauterie et dismatic 20 A et support compresseur et toutes sujétions de pose</t>
  </si>
  <si>
    <t>10.2.2</t>
  </si>
  <si>
    <t>Fourniture et pose Climatiseur split 1,5 CV Inverter y compris tuyauterie et dismatic 20 A et support compresseur et toutes sujétions de pose</t>
  </si>
  <si>
    <t>10.2.3</t>
  </si>
  <si>
    <t>Fourniture et pose de Brasseur d’air type plafonnier y compris variateur de vitesse et toutes sujétions</t>
  </si>
  <si>
    <t>10.3</t>
  </si>
  <si>
    <t>SECURITE INCENDIE</t>
  </si>
  <si>
    <t>10.3.1</t>
  </si>
  <si>
    <t>Fourniture et pose d'un détecteur autonome avertisseur de fumée</t>
  </si>
  <si>
    <t>10.3.2</t>
  </si>
  <si>
    <t>Fourniture et pose de bloc d'éclairage de sécurité  classe II à LED,  pictogramme suivant NFX08-003, fixation en encastré drapeau au plafond 45lm/W (BAES)</t>
  </si>
  <si>
    <t>10.3.3</t>
  </si>
  <si>
    <t>Fourniture et pose de bloc d'éclairage d'ambiance classe II à LED, flux 360lm/W (BAEA)</t>
  </si>
  <si>
    <t>10.3.4</t>
  </si>
  <si>
    <t>Fourniture et pose d'un extincteur portatif à Poudre Polyvalente 6kg</t>
  </si>
  <si>
    <t>10.3.5</t>
  </si>
  <si>
    <t>Fourniture et pose d'extincteur au dioxyde de carbone C02 de 5 kg</t>
  </si>
  <si>
    <t>10.4</t>
  </si>
  <si>
    <t>VIDEO-PROJECTEUR</t>
  </si>
  <si>
    <t>10.4.1</t>
  </si>
  <si>
    <t>Fourniture et pose de gaines, fileries, boitiers de dérivation, repartiteur divers et toutes autres sujétions</t>
  </si>
  <si>
    <t>10.4.2</t>
  </si>
  <si>
    <t>Fourniture et pose d'un vidéoprojecteur de 3000lm minimum, y compris lampe de rechange, support de fixation plafonnier, télécommande et divers accessoires  et toutes autres sujétions</t>
  </si>
  <si>
    <t>10.4.3</t>
  </si>
  <si>
    <t>Fourniture et pose d'un tableau de projection 200 x200 cm manuel  et toutes autres sujétions</t>
  </si>
  <si>
    <t>10.5</t>
  </si>
  <si>
    <t>CENTRALE SOLAIRE PHOTOVOLTAIQUE</t>
  </si>
  <si>
    <t>10.5.1</t>
  </si>
  <si>
    <t>10.5.2</t>
  </si>
  <si>
    <t>Fourniture et pose d'un onduleur hybride 10kVA/triphasé 400V avec écran LCD ou équivalent, y compris programmation et monitoring à distance à travers internet, liaison au coffret électrique DC, mise à la terre et toute sujétion conformément au descriptif</t>
  </si>
  <si>
    <t>10.5.3</t>
  </si>
  <si>
    <t>10.5.4</t>
  </si>
  <si>
    <t>Fourniture et pose d'un coffret électrique DC 12 modules équipé à poser dans le local technique et comprenant les éléments de protection bien dimensionnés du champ photovoltaïque, de l'onduleur hybride, de la batterie, du parafoudre, mise à la terre et toute sujétion</t>
  </si>
  <si>
    <t>10.5.5</t>
  </si>
  <si>
    <t>Liaison BT entre le champ photovoltïque et le coffret électrique DC par 20 mètres de câble anti-UV 2*6mm² y compris sa pose  dans des goulottes ou sur chemin de câble dans le local technique, sa protection mécanique sous tube ICT, etc. et toute sujétion conformément au descriptif</t>
  </si>
  <si>
    <t>10.5.6</t>
  </si>
  <si>
    <t>Liaisons BT entre le coffret électrique DC et le coffret électrique AC par câble U1000 R02V 4*10mm² y compris sa pose dans des goulottes ou sur chemin de câble, accessoires de fixation, et toute sujétion conformément au descriptif</t>
  </si>
  <si>
    <t>10.5.7</t>
  </si>
  <si>
    <t>Fourniture et pose d'un inverseur de source automatique/triphasé 63A</t>
  </si>
  <si>
    <t>Sous total I.10</t>
  </si>
  <si>
    <t xml:space="preserve">CHARPENTE - COUVERTURE </t>
  </si>
  <si>
    <t>11.1</t>
  </si>
  <si>
    <t>Fourniture et pose de pannes métalliques en IPN 80 y compris fixation sur platines, application de 02 couches de peinture anti-rouille et toutes sujétion de pose</t>
  </si>
  <si>
    <t>11.2</t>
  </si>
  <si>
    <t>Fourniture et pose de traverse en IPN 120 y compris fixation sur platines, application de 02 couches de peinture anti-rouille et toutes sujétion de pose</t>
  </si>
  <si>
    <t>11.3</t>
  </si>
  <si>
    <r>
      <t>Fourniture et pose d'une couverture en tôles bac aluminium de 7/10</t>
    </r>
    <r>
      <rPr>
        <vertAlign val="superscript"/>
        <sz val="10.5"/>
        <rFont val="Georgia"/>
        <family val="1"/>
      </rPr>
      <t xml:space="preserve">e </t>
    </r>
    <r>
      <rPr>
        <sz val="10.5"/>
        <rFont val="Georgia"/>
        <family val="1"/>
      </rPr>
      <t xml:space="preserve"> y compris, crochets de pose, cales et bandes isolantes entre les tôles et les pannes et toutes sujetions de pose</t>
    </r>
  </si>
  <si>
    <t>11.4</t>
  </si>
  <si>
    <t>Bardage métallique et toutes sujétions de pose</t>
  </si>
  <si>
    <t>11.5</t>
  </si>
  <si>
    <t>Gouttière métallique y compris bardage métallique et étanchéité et toutes sujétions de fixation et de raccordement</t>
  </si>
  <si>
    <t>Sous total I.11</t>
  </si>
  <si>
    <t>AMENAGEMENTS PAYSAGERS</t>
  </si>
  <si>
    <t>12.1</t>
  </si>
  <si>
    <t>Fourniture et plantation d'arbre de type manguier, flamboyant, acacia macrostashya, neem, etc. de minimum 200cm de haut y compris protection</t>
  </si>
  <si>
    <t>12.2</t>
  </si>
  <si>
    <t xml:space="preserve">Plantation d'arbuste ou plantes de taille moyenne de type moringa, attier, palmier cycas/américain, yucca, liane goïne, etc. de minimum 120cm de haut </t>
  </si>
  <si>
    <t>12.3</t>
  </si>
  <si>
    <t>Aménagement et embellissement de la devanture des bâtiments comprenant la préparation du sol, compactage et l'apport du gravier/quartz concassé et toutes sujétions</t>
  </si>
  <si>
    <t>Sous total I.12</t>
  </si>
  <si>
    <t>TOTAL GENERAL I</t>
  </si>
  <si>
    <t>II</t>
  </si>
  <si>
    <t>ENSEIGNE ARCHITECTURALE</t>
  </si>
  <si>
    <t>1.2</t>
  </si>
  <si>
    <t>1.3</t>
  </si>
  <si>
    <t>1.4</t>
  </si>
  <si>
    <t>Sous total II.1</t>
  </si>
  <si>
    <t>2.1.1</t>
  </si>
  <si>
    <t>2.1.2</t>
  </si>
  <si>
    <t>2.1.3</t>
  </si>
  <si>
    <t>2.1.4</t>
  </si>
  <si>
    <t>Maçonnerie en agglos pleins de 10 cm d'épaisseur en soubassement suivant plans de fondations</t>
  </si>
  <si>
    <t>2.2</t>
  </si>
  <si>
    <t>Bétons armes en superstructure</t>
  </si>
  <si>
    <t>2.2.1</t>
  </si>
  <si>
    <t>2.2.2</t>
  </si>
  <si>
    <t>Béton armé pour dalle dosé à 350 kg/m3 de CPA 45, y compris coffrage, armatures et toutes sujétions</t>
  </si>
  <si>
    <t>2.2.3</t>
  </si>
  <si>
    <t>Béton armé pour acrotere dosé à 350 kg/m3 de CPA 45 y compris coffrage, armatures et toutes sujétions</t>
  </si>
  <si>
    <t>Sous total II.2</t>
  </si>
  <si>
    <t>Maçonnerie d'agglos creux de 10 x 20 x 40</t>
  </si>
  <si>
    <t>3.3</t>
  </si>
  <si>
    <t>Sous total II.3</t>
  </si>
  <si>
    <t>MENUISERIE METALLIQUE</t>
  </si>
  <si>
    <r>
      <rPr>
        <b/>
        <sz val="10.5"/>
        <rFont val="Georgia"/>
        <family val="1"/>
      </rPr>
      <t xml:space="preserve">EMLDF: </t>
    </r>
    <r>
      <rPr>
        <sz val="10.5"/>
        <rFont val="Georgia"/>
        <family val="1"/>
      </rPr>
      <t xml:space="preserve">Enseigne métallique en lettrage découpé au laser/ façonné en acier inoxydable conformément aux indications de l'architecte y compris support de scellement et peinture glycérophtalique </t>
    </r>
  </si>
  <si>
    <t>Sous total II.4</t>
  </si>
  <si>
    <t>Revêtement chape de ciment lissé</t>
  </si>
  <si>
    <t>Sous total II.5</t>
  </si>
  <si>
    <t>Sous total II.6</t>
  </si>
  <si>
    <t>TOTAL GENERAL II</t>
  </si>
  <si>
    <t>III</t>
  </si>
  <si>
    <t>LATRINE VIP 03 CABINES (02 CABINES DE DEFECATION + 01 CABINE DE PMR)</t>
  </si>
  <si>
    <t>TERRASSEMENT</t>
  </si>
  <si>
    <t>Décapage et nivellement 1m au pourtour de l'emprise</t>
  </si>
  <si>
    <t>m2</t>
  </si>
  <si>
    <t>Implantation</t>
  </si>
  <si>
    <t>ff</t>
  </si>
  <si>
    <t>Fouilles en puit pour fosses latrines</t>
  </si>
  <si>
    <t>m3</t>
  </si>
  <si>
    <t>Fouilles en rigole pour fondations de murs</t>
  </si>
  <si>
    <t>1.5</t>
  </si>
  <si>
    <t>Remblai hydraulique bien compacté autour des fosses</t>
  </si>
  <si>
    <t>1.6</t>
  </si>
  <si>
    <t xml:space="preserve">Remblai compacté sans apport latéritique sous dallage </t>
  </si>
  <si>
    <t>1.7</t>
  </si>
  <si>
    <t>Nettoyage de chantier</t>
  </si>
  <si>
    <t>Sous total III.1</t>
  </si>
  <si>
    <t>INFRASTRUCTURE</t>
  </si>
  <si>
    <t>Béton de propreté dosé à 150 kg/m3 pour semelles de latrine épais=0,05m</t>
  </si>
  <si>
    <t>Béton armé dosé à 350 kg/m3 pour semelles filantes sous murs pour latrine (30cm x 15cm)</t>
  </si>
  <si>
    <t>Maçonnerie d'agglos pleins de 15x20x40 cm (fosse + soubassement) latrine + puisards + cabine</t>
  </si>
  <si>
    <t>Béton armé dosé à 350 kg/m3 pour poteaux (fosse)</t>
  </si>
  <si>
    <t>Béton armé dosé à 350 kg/m3 pour poutre de 15x30ht au dessus des briques pleines et sous les agglos creux y compris toutes sujetions</t>
  </si>
  <si>
    <t>Béton armé dosé à 350 kg/m3 pour dalle au dessus de la fosse d'épaisseur 10cm compris toutes sujetions</t>
  </si>
  <si>
    <t>Enduits lisse étanche sur murs intérieurs (fosse)</t>
  </si>
  <si>
    <t>Sous total III.2</t>
  </si>
  <si>
    <t>SUPERSTRUCTURE</t>
  </si>
  <si>
    <t>Béton armé dosé à 350 kg/m3 pour raidisseurs pour cabine</t>
  </si>
  <si>
    <t>Béton légèrement armé dosé à 300 kg/m3 pour dallage + chape + marche + rampe + bèche y compris toutes sujetions</t>
  </si>
  <si>
    <t>Béton armé dosé à 350 kg/m3 pour chainage et appui de mur d'intimidité de 15x10ht y compris toutes sujetions</t>
  </si>
  <si>
    <t>3.4</t>
  </si>
  <si>
    <t>Maçonnerie d'agglos creux de 15x20x40cm Har=2,3m, Hav=2,5m ; Harpmr=2,3m et Havpmr=2,7m</t>
  </si>
  <si>
    <t>3.5</t>
  </si>
  <si>
    <t>Maçonnerie de claustras d'aération type boite à lettre (80x60ht) équipé d'un grillage anti moutique y compris toutes sujétions</t>
  </si>
  <si>
    <t>3.6</t>
  </si>
  <si>
    <t>Maçonnerie de claustras de ventilation y compris grillage +toutes sujétions</t>
  </si>
  <si>
    <t>U</t>
  </si>
  <si>
    <t>3.7</t>
  </si>
  <si>
    <t>Enduits sur murs intérieurs et extérieurs des cabines</t>
  </si>
  <si>
    <t>3.8</t>
  </si>
  <si>
    <t>Enduit tyrolien extérieurs y compris signalitiques "filles" PRM et GHM</t>
  </si>
  <si>
    <t>Sous total III.3</t>
  </si>
  <si>
    <t>MENUISERIE MÉTALLIQUE ET BOIS</t>
  </si>
  <si>
    <t>Porte à châssis métallique un battant pleine 80 x 2,00 m compris anti-rouille, toutes sujétions (avec des boucles soudées sur les portes, et 2 cadenas)</t>
  </si>
  <si>
    <t>Porte à châssis métallique un battant pleine 90 x 2,00 m compris anti-rouille, toutes sujétions (avec des boucles soudées sur les portes, et 2 cadenas)</t>
  </si>
  <si>
    <t>Sous total III.4</t>
  </si>
  <si>
    <t>CHARPENTE - COUVERTURE</t>
  </si>
  <si>
    <t>Fourniture et pose de charpente en tube rectangulaire lourd (1,5mm) de 40x80 y compris toutes sujétions</t>
  </si>
  <si>
    <t>Couverture en tôles prélaqué 35/100 y compris toutes sujétions</t>
  </si>
  <si>
    <t>Sous total III.5</t>
  </si>
  <si>
    <t>REVÊTEMENT ET ÉTANCHÉITÉ</t>
  </si>
  <si>
    <t>Relevé d'étanchéité au paxaluminium de 40</t>
  </si>
  <si>
    <t>Sous total III.6</t>
  </si>
  <si>
    <t>PEINTURE</t>
  </si>
  <si>
    <t>Peinture a huile sur murs intérieur des cabines de couleur rouge, gris ou jaune</t>
  </si>
  <si>
    <t>Peinture glycéro sur menuiserie métallique (portes + garde corps) de couleur rouge,  gris ou jaune</t>
  </si>
  <si>
    <t>Sous total III.7</t>
  </si>
  <si>
    <t>AMENAGEMENT CABINE PMR</t>
  </si>
  <si>
    <t>Fourniture et pose de siège PMR en béton armé moulé de hauteur 40cm y compris toutes sujétions</t>
  </si>
  <si>
    <t>Barre de soutien en tube rond lourd de 40 de hauteur 60cm fixé contre le sol et le mur (L=80cm)</t>
  </si>
  <si>
    <t>8.3</t>
  </si>
  <si>
    <t>Barre de soutien en tube rond lourd de 40 fixé contre le mur (L=80cm)</t>
  </si>
  <si>
    <t>8.4</t>
  </si>
  <si>
    <t>Garde corps en tube rond lourd de 40mm (Ht 80 cm du sol)</t>
  </si>
  <si>
    <t>8.5</t>
  </si>
  <si>
    <t>Main courante en tube rond lourd de 40mm  (Ht 80 cm du sol)</t>
  </si>
  <si>
    <t>Sous total III.8</t>
  </si>
  <si>
    <t>Dispositif de lave mains et amenagement</t>
  </si>
  <si>
    <t>Maconnerie en briques pleines pour support du reservoir d'eau de 20 l de dimensions 50x50 (hauteur 70cm) avec crépissage y compris toutes sujetions</t>
  </si>
  <si>
    <t>Fourniture et pose de reservoir en béton armé de 20l muni d'une fermeture metallique avec cadenas et d'un robinet de puisage</t>
  </si>
  <si>
    <t>Amenagement de l'aire de lavage de mains de 120x120 en cuvette de -5cm avec une chape lissée y compris toutes sujetions</t>
  </si>
  <si>
    <t>Fourniture et pose de reseau d'evacuation d'eau en PVC de 63mm y compris syphon de sol et toutes sujetions</t>
  </si>
  <si>
    <t>Ensemble realisation d'un puisard de diametre 80cm et profondeuir 120cm et remplir de moellons avec une dalle de couverture</t>
  </si>
  <si>
    <t>Fourniture et pose de pavés de luxe de 30x30 d'épaisseur 7cm sur une largeur de 120cm autour des latrines (reliant les cabines au dispositif de lavage de mains) y compris pose de bordure et toutes sujétions</t>
  </si>
  <si>
    <t>9.7</t>
  </si>
  <si>
    <t>Ensemble de caligraphie pour les cabines pour PMR; GHM; dispositif de laves mains, Nom du projet, dessins sur murs, dessins de jeux sur pavé y compris toutes sujetions</t>
  </si>
  <si>
    <t>9.8</t>
  </si>
  <si>
    <t xml:space="preserve">Fourniture de sceau a eau dur de 15l </t>
  </si>
  <si>
    <t>9.9</t>
  </si>
  <si>
    <t>Fourniture d'un gobelet de 50cl</t>
  </si>
  <si>
    <t>9.10</t>
  </si>
  <si>
    <t>Fourniture d'un bidon vide de 20 l</t>
  </si>
  <si>
    <t>9.11</t>
  </si>
  <si>
    <t>Fourniture de boulloires</t>
  </si>
  <si>
    <t>Sous total III.9</t>
  </si>
  <si>
    <t>Urinoir</t>
  </si>
  <si>
    <t>Béton Cyclopéen dosé à 250 kg/m3 pour semelles filantes sous murs (30cm x 20cm)</t>
  </si>
  <si>
    <t>Maçonnerie d'agglos pleins de 15x20x40 cm</t>
  </si>
  <si>
    <t>Maçonnerie d'agglos Creux de 15x20x40 cm pour soubassement</t>
  </si>
  <si>
    <t>Crepissage sur murs</t>
  </si>
  <si>
    <t>10.6</t>
  </si>
  <si>
    <t>Fourniture et pose de carreaux sur sol de 30x30 y compris toutes sujetions</t>
  </si>
  <si>
    <t>10.7</t>
  </si>
  <si>
    <t>Fourniture et pose de carreaux faiences de 15x25 sur murs a hauteur 2,00m y compris toutes sujetions</t>
  </si>
  <si>
    <t>10.8</t>
  </si>
  <si>
    <t>Fourniture et pose de tuyauterie PVC de 63mm pour evacuation des urine dans la fosse y compris toutes sujétions</t>
  </si>
  <si>
    <t>10.9</t>
  </si>
  <si>
    <t>Fourniture et pose de syphons y compris toutes sujétions</t>
  </si>
  <si>
    <t>10.10</t>
  </si>
  <si>
    <t>Béton légèrement armé dosé a 300Kg/m3 pour dallage et rampe de 10cm d'épaisseur</t>
  </si>
  <si>
    <t>Sous total III.10</t>
  </si>
  <si>
    <t>TOTAL GENERAL III</t>
  </si>
  <si>
    <t>TOTAL GENERAL BFA21001-10092</t>
  </si>
  <si>
    <t>Désignations</t>
  </si>
  <si>
    <t>Nombres</t>
  </si>
  <si>
    <t>HA6</t>
  </si>
  <si>
    <t>HA8</t>
  </si>
  <si>
    <t>HA10</t>
  </si>
  <si>
    <t>HA12</t>
  </si>
  <si>
    <t>HA14</t>
  </si>
  <si>
    <t>HA16</t>
  </si>
  <si>
    <t>Se1</t>
  </si>
  <si>
    <t>Se2</t>
  </si>
  <si>
    <t>Se2A</t>
  </si>
  <si>
    <t>TOTAL</t>
  </si>
  <si>
    <t>DEVIS QUANTITATIF DES MATERIAUX</t>
  </si>
  <si>
    <t>BATIMENT</t>
  </si>
  <si>
    <t>NIVEAU</t>
  </si>
  <si>
    <t>PARTIE D'OUVRAGE</t>
  </si>
  <si>
    <t>BETON</t>
  </si>
  <si>
    <t>QUANTITE D'ACIER (Kg)</t>
  </si>
  <si>
    <t>CIMENT</t>
  </si>
  <si>
    <t>SABLE</t>
  </si>
  <si>
    <t>GRAVIER</t>
  </si>
  <si>
    <t>Tonnes</t>
  </si>
  <si>
    <t>ADMINISTRATION</t>
  </si>
  <si>
    <t>FONDATION</t>
  </si>
  <si>
    <t>Semelles isolées</t>
  </si>
  <si>
    <t>Longrines/Chainage bas</t>
  </si>
  <si>
    <t>Potelets</t>
  </si>
  <si>
    <t>Dallage</t>
  </si>
  <si>
    <t>TOTAL BRUT FONDATION</t>
  </si>
  <si>
    <t>TOTAL AVEC MARGE DE 10%</t>
  </si>
  <si>
    <t>PLANCHER HAUT RDC/ TOITURE</t>
  </si>
  <si>
    <t>Poteaux</t>
  </si>
  <si>
    <t xml:space="preserve">Chainages </t>
  </si>
  <si>
    <t xml:space="preserve">Poutres </t>
  </si>
  <si>
    <t>Dalle</t>
  </si>
  <si>
    <t>Acrotère/Appui de baie et tôle</t>
  </si>
  <si>
    <t>TOTAL PH RDC</t>
  </si>
  <si>
    <t>TOTAL ADMINISTRATION</t>
  </si>
  <si>
    <t>LOGEMENT A</t>
  </si>
  <si>
    <t>Longrines</t>
  </si>
  <si>
    <t>LOGEMENT B</t>
  </si>
  <si>
    <t>Chainahe</t>
  </si>
  <si>
    <t>LABORATOIRE</t>
  </si>
  <si>
    <t>TOTAL GENERAL</t>
  </si>
  <si>
    <t>TOTAL GENERAL AVEC MARGE DE 10%</t>
  </si>
  <si>
    <t>Fourniture et pose d'un champ solaire photovoltaïque d'une puisssance STC minimale de 11,5kWc, composée de modules monocristallins 575Wc  conformément au descriptif et au plan, y compris structure de pose en aluminium sur toiture, câblage électrique, mise à la terre et toute sujétion</t>
  </si>
  <si>
    <t>Fourniture et pose d'une cabine de batteries d'accumulateur type Lithium Fer Phosphate LFP de capacité totale 17,5kWh/48VDC y compris liaison au coffret électrique DC, programmation BMS et toute sujétion conformément au descriptif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</si>
</sst>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00"/>
    <numFmt numFmtId="168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26"/>
      <name val="Agency FB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0.5"/>
      <name val="Georgia"/>
      <family val="1"/>
    </font>
    <font>
      <sz val="10.5"/>
      <name val="Georgia"/>
      <family val="1"/>
    </font>
    <font>
      <sz val="10.5"/>
      <color theme="5"/>
      <name val="Georgia"/>
      <family val="1"/>
    </font>
    <font>
      <sz val="10.5"/>
      <color rgb="FFFF0000"/>
      <name val="Georgia"/>
      <family val="1"/>
    </font>
    <font>
      <b/>
      <sz val="10.5"/>
      <color rgb="FFFF0000"/>
      <name val="Georgia"/>
      <family val="1"/>
    </font>
    <font>
      <sz val="10.5"/>
      <color theme="1"/>
      <name val="Georgia"/>
      <family val="1"/>
    </font>
    <font>
      <vertAlign val="superscript"/>
      <sz val="10.5"/>
      <name val="Georgia"/>
      <family val="1"/>
    </font>
    <font>
      <b/>
      <sz val="10.5"/>
      <color theme="1"/>
      <name val="Georgia"/>
      <family val="1"/>
    </font>
    <font>
      <b/>
      <i/>
      <sz val="10.5"/>
      <color theme="1"/>
      <name val="Georg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7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left"/>
    </xf>
    <xf numFmtId="2" fontId="15" fillId="0" borderId="21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28" xfId="0" applyFont="1" applyBorder="1" applyAlignment="1">
      <alignment horizontal="left"/>
    </xf>
    <xf numFmtId="2" fontId="15" fillId="0" borderId="29" xfId="0" applyNumberFormat="1" applyFont="1" applyBorder="1" applyAlignment="1">
      <alignment horizontal="center"/>
    </xf>
    <xf numFmtId="2" fontId="15" fillId="0" borderId="28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2" fontId="16" fillId="0" borderId="12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vertical="center"/>
    </xf>
    <xf numFmtId="2" fontId="16" fillId="0" borderId="31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0" fontId="16" fillId="5" borderId="20" xfId="0" applyFont="1" applyFill="1" applyBorder="1" applyAlignment="1">
      <alignment horizontal="left" vertical="center"/>
    </xf>
    <xf numFmtId="2" fontId="16" fillId="5" borderId="21" xfId="0" applyNumberFormat="1" applyFont="1" applyFill="1" applyBorder="1" applyAlignment="1">
      <alignment horizontal="center" vertical="center"/>
    </xf>
    <xf numFmtId="2" fontId="16" fillId="5" borderId="20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 vertical="center"/>
    </xf>
    <xf numFmtId="2" fontId="16" fillId="5" borderId="25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/>
    </xf>
    <xf numFmtId="0" fontId="15" fillId="0" borderId="3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left" vertical="center"/>
    </xf>
    <xf numFmtId="2" fontId="16" fillId="5" borderId="12" xfId="0" applyNumberFormat="1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/>
    </xf>
    <xf numFmtId="2" fontId="16" fillId="5" borderId="30" xfId="0" applyNumberFormat="1" applyFont="1" applyFill="1" applyBorder="1" applyAlignment="1">
      <alignment horizontal="center" vertical="center"/>
    </xf>
    <xf numFmtId="2" fontId="16" fillId="5" borderId="32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2" fontId="16" fillId="5" borderId="24" xfId="0" applyNumberFormat="1" applyFont="1" applyFill="1" applyBorder="1" applyAlignment="1">
      <alignment horizontal="center" vertical="center"/>
    </xf>
    <xf numFmtId="0" fontId="0" fillId="0" borderId="36" xfId="0" applyBorder="1"/>
    <xf numFmtId="0" fontId="12" fillId="0" borderId="36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/>
    </xf>
    <xf numFmtId="0" fontId="16" fillId="0" borderId="21" xfId="0" applyFont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167" fontId="16" fillId="0" borderId="2" xfId="0" applyNumberFormat="1" applyFont="1" applyBorder="1" applyAlignment="1">
      <alignment horizontal="center"/>
    </xf>
    <xf numFmtId="167" fontId="16" fillId="0" borderId="2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2" fontId="12" fillId="0" borderId="21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0" fontId="16" fillId="5" borderId="3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/>
    </xf>
    <xf numFmtId="2" fontId="12" fillId="6" borderId="21" xfId="0" applyNumberFormat="1" applyFont="1" applyFill="1" applyBorder="1" applyAlignment="1">
      <alignment horizontal="center" vertical="center"/>
    </xf>
    <xf numFmtId="2" fontId="12" fillId="6" borderId="20" xfId="0" applyNumberFormat="1" applyFont="1" applyFill="1" applyBorder="1" applyAlignment="1">
      <alignment horizontal="center" vertical="center"/>
    </xf>
    <xf numFmtId="2" fontId="12" fillId="6" borderId="2" xfId="0" applyNumberFormat="1" applyFont="1" applyFill="1" applyBorder="1" applyAlignment="1">
      <alignment horizontal="center" vertical="center"/>
    </xf>
    <xf numFmtId="2" fontId="12" fillId="6" borderId="2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4" fontId="0" fillId="0" borderId="0" xfId="1" applyFont="1"/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5" fillId="0" borderId="20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0" fontId="1" fillId="0" borderId="0" xfId="4"/>
    <xf numFmtId="0" fontId="17" fillId="0" borderId="0" xfId="4" applyFont="1" applyAlignment="1">
      <alignment horizontal="center" vertical="center"/>
    </xf>
    <xf numFmtId="0" fontId="18" fillId="0" borderId="14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8" fillId="7" borderId="16" xfId="4" applyFont="1" applyFill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/>
    </xf>
    <xf numFmtId="167" fontId="18" fillId="7" borderId="2" xfId="4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2" fontId="15" fillId="0" borderId="44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4" fontId="15" fillId="0" borderId="34" xfId="0" applyNumberFormat="1" applyFont="1" applyBorder="1" applyAlignment="1">
      <alignment horizontal="center"/>
    </xf>
    <xf numFmtId="164" fontId="15" fillId="0" borderId="24" xfId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25" xfId="1" applyFont="1" applyBorder="1" applyAlignment="1">
      <alignment horizontal="center"/>
    </xf>
    <xf numFmtId="2" fontId="16" fillId="5" borderId="45" xfId="0" applyNumberFormat="1" applyFont="1" applyFill="1" applyBorder="1" applyAlignment="1">
      <alignment horizontal="center" vertical="center"/>
    </xf>
    <xf numFmtId="2" fontId="16" fillId="5" borderId="14" xfId="0" applyNumberFormat="1" applyFont="1" applyFill="1" applyBorder="1" applyAlignment="1">
      <alignment horizontal="center" vertical="center"/>
    </xf>
    <xf numFmtId="2" fontId="16" fillId="5" borderId="46" xfId="0" applyNumberFormat="1" applyFont="1" applyFill="1" applyBorder="1" applyAlignment="1">
      <alignment horizontal="center" vertical="center"/>
    </xf>
    <xf numFmtId="2" fontId="12" fillId="0" borderId="30" xfId="0" applyNumberFormat="1" applyFont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/>
    </xf>
    <xf numFmtId="2" fontId="16" fillId="8" borderId="47" xfId="0" applyNumberFormat="1" applyFont="1" applyFill="1" applyBorder="1" applyAlignment="1">
      <alignment horizontal="center" vertical="center"/>
    </xf>
    <xf numFmtId="2" fontId="16" fillId="8" borderId="13" xfId="0" applyNumberFormat="1" applyFont="1" applyFill="1" applyBorder="1" applyAlignment="1">
      <alignment horizontal="center" vertical="center"/>
    </xf>
    <xf numFmtId="2" fontId="16" fillId="8" borderId="14" xfId="0" applyNumberFormat="1" applyFont="1" applyFill="1" applyBorder="1" applyAlignment="1">
      <alignment horizontal="center" vertical="center"/>
    </xf>
    <xf numFmtId="2" fontId="16" fillId="8" borderId="15" xfId="0" applyNumberFormat="1" applyFont="1" applyFill="1" applyBorder="1" applyAlignment="1">
      <alignment horizontal="center" vertical="center"/>
    </xf>
    <xf numFmtId="2" fontId="16" fillId="8" borderId="17" xfId="0" applyNumberFormat="1" applyFont="1" applyFill="1" applyBorder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164" fontId="8" fillId="0" borderId="0" xfId="1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/>
    <xf numFmtId="164" fontId="22" fillId="0" borderId="0" xfId="1" applyFont="1" applyAlignment="1">
      <alignment horizontal="center"/>
    </xf>
    <xf numFmtId="164" fontId="2" fillId="0" borderId="0" xfId="1" applyFont="1"/>
    <xf numFmtId="3" fontId="2" fillId="0" borderId="0" xfId="0" applyNumberFormat="1" applyFont="1"/>
    <xf numFmtId="3" fontId="3" fillId="0" borderId="0" xfId="0" applyNumberFormat="1" applyFont="1"/>
    <xf numFmtId="4" fontId="2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vertical="center" wrapText="1"/>
    </xf>
    <xf numFmtId="0" fontId="29" fillId="0" borderId="0" xfId="0" applyFont="1"/>
    <xf numFmtId="0" fontId="30" fillId="0" borderId="0" xfId="0" applyFont="1"/>
    <xf numFmtId="3" fontId="28" fillId="0" borderId="14" xfId="0" applyNumberFormat="1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4" fontId="28" fillId="2" borderId="14" xfId="0" applyNumberFormat="1" applyFont="1" applyFill="1" applyBorder="1" applyAlignment="1">
      <alignment horizontal="center" vertical="center" wrapText="1"/>
    </xf>
    <xf numFmtId="4" fontId="29" fillId="2" borderId="14" xfId="0" applyNumberFormat="1" applyFont="1" applyFill="1" applyBorder="1" applyAlignment="1">
      <alignment horizontal="center" vertical="center" wrapText="1"/>
    </xf>
    <xf numFmtId="3" fontId="28" fillId="5" borderId="14" xfId="0" applyNumberFormat="1" applyFont="1" applyFill="1" applyBorder="1" applyAlignment="1">
      <alignment horizontal="center" vertical="center" wrapText="1"/>
    </xf>
    <xf numFmtId="4" fontId="28" fillId="0" borderId="14" xfId="0" applyNumberFormat="1" applyFont="1" applyBorder="1" applyAlignment="1">
      <alignment vertical="center" wrapText="1"/>
    </xf>
    <xf numFmtId="4" fontId="29" fillId="0" borderId="14" xfId="0" applyNumberFormat="1" applyFont="1" applyBorder="1" applyAlignment="1">
      <alignment horizontal="center" vertical="center" wrapText="1"/>
    </xf>
    <xf numFmtId="4" fontId="29" fillId="9" borderId="14" xfId="0" applyNumberFormat="1" applyFont="1" applyFill="1" applyBorder="1" applyAlignment="1">
      <alignment horizontal="left" vertical="center" wrapText="1"/>
    </xf>
    <xf numFmtId="4" fontId="29" fillId="9" borderId="14" xfId="0" applyNumberFormat="1" applyFont="1" applyFill="1" applyBorder="1" applyAlignment="1">
      <alignment horizontal="center" vertical="center" wrapText="1"/>
    </xf>
    <xf numFmtId="3" fontId="28" fillId="3" borderId="14" xfId="0" applyNumberFormat="1" applyFont="1" applyFill="1" applyBorder="1" applyAlignment="1">
      <alignment horizontal="center" vertical="center" wrapText="1"/>
    </xf>
    <xf numFmtId="4" fontId="28" fillId="3" borderId="14" xfId="0" applyNumberFormat="1" applyFont="1" applyFill="1" applyBorder="1" applyAlignment="1">
      <alignment horizontal="right" vertical="center" wrapText="1"/>
    </xf>
    <xf numFmtId="4" fontId="28" fillId="3" borderId="14" xfId="0" applyNumberFormat="1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 wrapText="1"/>
    </xf>
    <xf numFmtId="3" fontId="28" fillId="3" borderId="14" xfId="0" applyNumberFormat="1" applyFont="1" applyFill="1" applyBorder="1" applyAlignment="1">
      <alignment horizontal="right" vertical="center" wrapText="1"/>
    </xf>
    <xf numFmtId="4" fontId="29" fillId="0" borderId="14" xfId="0" applyNumberFormat="1" applyFont="1" applyBorder="1" applyAlignment="1">
      <alignment horizontal="center" vertical="center"/>
    </xf>
    <xf numFmtId="3" fontId="29" fillId="0" borderId="14" xfId="0" applyNumberFormat="1" applyFont="1" applyBorder="1" applyAlignment="1">
      <alignment horizontal="right" vertical="center"/>
    </xf>
    <xf numFmtId="4" fontId="29" fillId="0" borderId="14" xfId="0" applyNumberFormat="1" applyFont="1" applyBorder="1" applyAlignment="1">
      <alignment vertical="center" wrapText="1"/>
    </xf>
    <xf numFmtId="4" fontId="28" fillId="5" borderId="14" xfId="0" applyNumberFormat="1" applyFont="1" applyFill="1" applyBorder="1" applyAlignment="1">
      <alignment horizontal="right" vertical="center" wrapText="1"/>
    </xf>
    <xf numFmtId="4" fontId="28" fillId="5" borderId="14" xfId="0" applyNumberFormat="1" applyFont="1" applyFill="1" applyBorder="1" applyAlignment="1">
      <alignment horizontal="center" vertical="center"/>
    </xf>
    <xf numFmtId="4" fontId="29" fillId="5" borderId="14" xfId="0" applyNumberFormat="1" applyFont="1" applyFill="1" applyBorder="1" applyAlignment="1">
      <alignment horizontal="center" vertical="center"/>
    </xf>
    <xf numFmtId="3" fontId="29" fillId="0" borderId="14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/>
    </xf>
    <xf numFmtId="4" fontId="33" fillId="9" borderId="14" xfId="0" applyNumberFormat="1" applyFont="1" applyFill="1" applyBorder="1" applyAlignment="1">
      <alignment horizontal="center" vertical="center"/>
    </xf>
    <xf numFmtId="4" fontId="29" fillId="9" borderId="14" xfId="0" applyNumberFormat="1" applyFont="1" applyFill="1" applyBorder="1" applyAlignment="1">
      <alignment horizontal="center" vertical="center"/>
    </xf>
    <xf numFmtId="3" fontId="29" fillId="9" borderId="14" xfId="0" applyNumberFormat="1" applyFont="1" applyFill="1" applyBorder="1" applyAlignment="1">
      <alignment horizontal="center" vertical="center" wrapText="1"/>
    </xf>
    <xf numFmtId="4" fontId="29" fillId="9" borderId="14" xfId="0" applyNumberFormat="1" applyFont="1" applyFill="1" applyBorder="1" applyAlignment="1">
      <alignment vertical="center" wrapText="1"/>
    </xf>
    <xf numFmtId="4" fontId="28" fillId="6" borderId="14" xfId="0" applyNumberFormat="1" applyFont="1" applyFill="1" applyBorder="1" applyAlignment="1">
      <alignment horizontal="right" vertical="center" wrapText="1"/>
    </xf>
    <xf numFmtId="4" fontId="28" fillId="6" borderId="14" xfId="0" applyNumberFormat="1" applyFont="1" applyFill="1" applyBorder="1" applyAlignment="1">
      <alignment horizontal="center" vertical="center"/>
    </xf>
    <xf numFmtId="4" fontId="29" fillId="6" borderId="14" xfId="0" applyNumberFormat="1" applyFont="1" applyFill="1" applyBorder="1" applyAlignment="1">
      <alignment horizontal="center" vertical="center"/>
    </xf>
    <xf numFmtId="4" fontId="28" fillId="3" borderId="14" xfId="0" applyNumberFormat="1" applyFont="1" applyFill="1" applyBorder="1" applyAlignment="1">
      <alignment horizontal="center" vertical="center"/>
    </xf>
    <xf numFmtId="4" fontId="29" fillId="3" borderId="14" xfId="0" applyNumberFormat="1" applyFont="1" applyFill="1" applyBorder="1" applyAlignment="1">
      <alignment horizontal="center" vertical="center"/>
    </xf>
    <xf numFmtId="3" fontId="29" fillId="0" borderId="14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vertical="top" wrapText="1"/>
    </xf>
    <xf numFmtId="3" fontId="28" fillId="0" borderId="14" xfId="0" applyNumberFormat="1" applyFont="1" applyBorder="1" applyAlignment="1">
      <alignment horizontal="right" vertical="center"/>
    </xf>
    <xf numFmtId="4" fontId="28" fillId="0" borderId="14" xfId="0" applyNumberFormat="1" applyFont="1" applyBorder="1" applyAlignment="1">
      <alignment horizontal="center" vertical="center"/>
    </xf>
    <xf numFmtId="3" fontId="28" fillId="9" borderId="14" xfId="0" applyNumberFormat="1" applyFont="1" applyFill="1" applyBorder="1" applyAlignment="1">
      <alignment horizontal="center" vertical="center" wrapText="1"/>
    </xf>
    <xf numFmtId="4" fontId="28" fillId="9" borderId="14" xfId="0" applyNumberFormat="1" applyFont="1" applyFill="1" applyBorder="1" applyAlignment="1">
      <alignment vertical="center" wrapText="1"/>
    </xf>
    <xf numFmtId="4" fontId="28" fillId="9" borderId="14" xfId="0" applyNumberFormat="1" applyFont="1" applyFill="1" applyBorder="1" applyAlignment="1">
      <alignment horizontal="center" vertical="center"/>
    </xf>
    <xf numFmtId="3" fontId="31" fillId="9" borderId="14" xfId="0" applyNumberFormat="1" applyFont="1" applyFill="1" applyBorder="1" applyAlignment="1">
      <alignment horizontal="center" vertical="center" wrapText="1"/>
    </xf>
    <xf numFmtId="4" fontId="32" fillId="9" borderId="14" xfId="0" applyNumberFormat="1" applyFont="1" applyFill="1" applyBorder="1" applyAlignment="1">
      <alignment horizontal="center" vertical="center"/>
    </xf>
    <xf numFmtId="4" fontId="31" fillId="9" borderId="14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9" borderId="14" xfId="0" applyFont="1" applyFill="1" applyBorder="1" applyAlignment="1">
      <alignment horizontal="center" vertical="center" wrapText="1"/>
    </xf>
    <xf numFmtId="165" fontId="29" fillId="9" borderId="14" xfId="0" applyNumberFormat="1" applyFont="1" applyFill="1" applyBorder="1" applyAlignment="1">
      <alignment horizontal="center" vertical="center" wrapText="1"/>
    </xf>
    <xf numFmtId="165" fontId="29" fillId="0" borderId="14" xfId="6" applyNumberFormat="1" applyFont="1" applyFill="1" applyBorder="1" applyAlignment="1">
      <alignment horizontal="center" vertical="center" wrapText="1"/>
    </xf>
    <xf numFmtId="165" fontId="29" fillId="9" borderId="14" xfId="1" applyNumberFormat="1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/>
    </xf>
    <xf numFmtId="165" fontId="29" fillId="0" borderId="14" xfId="6" applyNumberFormat="1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vertical="center" wrapText="1"/>
    </xf>
    <xf numFmtId="4" fontId="29" fillId="0" borderId="14" xfId="0" applyNumberFormat="1" applyFont="1" applyBorder="1" applyAlignment="1">
      <alignment horizontal="left" vertical="center" wrapText="1"/>
    </xf>
    <xf numFmtId="4" fontId="30" fillId="0" borderId="14" xfId="0" applyNumberFormat="1" applyFont="1" applyBorder="1" applyAlignment="1">
      <alignment horizontal="center" vertical="center"/>
    </xf>
    <xf numFmtId="3" fontId="28" fillId="6" borderId="14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3" fontId="28" fillId="10" borderId="14" xfId="0" applyNumberFormat="1" applyFont="1" applyFill="1" applyBorder="1" applyAlignment="1">
      <alignment horizontal="center" vertical="center" wrapText="1"/>
    </xf>
    <xf numFmtId="3" fontId="28" fillId="11" borderId="14" xfId="0" applyNumberFormat="1" applyFont="1" applyFill="1" applyBorder="1" applyAlignment="1">
      <alignment horizontal="center" vertical="center" wrapText="1"/>
    </xf>
    <xf numFmtId="4" fontId="28" fillId="11" borderId="14" xfId="0" applyNumberFormat="1" applyFont="1" applyFill="1" applyBorder="1" applyAlignment="1">
      <alignment horizontal="center" vertical="center" wrapText="1"/>
    </xf>
    <xf numFmtId="4" fontId="30" fillId="11" borderId="14" xfId="0" applyNumberFormat="1" applyFont="1" applyFill="1" applyBorder="1" applyAlignment="1">
      <alignment horizontal="center" vertical="center" wrapText="1"/>
    </xf>
    <xf numFmtId="4" fontId="28" fillId="10" borderId="14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33" fillId="0" borderId="14" xfId="0" applyFont="1" applyBorder="1" applyAlignment="1">
      <alignment horizontal="center" vertical="center"/>
    </xf>
    <xf numFmtId="168" fontId="33" fillId="0" borderId="14" xfId="0" applyNumberFormat="1" applyFont="1" applyBorder="1" applyAlignment="1">
      <alignment horizontal="center" vertical="center"/>
    </xf>
    <xf numFmtId="41" fontId="33" fillId="0" borderId="14" xfId="7" applyFont="1" applyBorder="1" applyAlignment="1">
      <alignment horizontal="center" vertical="center"/>
    </xf>
    <xf numFmtId="168" fontId="36" fillId="0" borderId="14" xfId="0" applyNumberFormat="1" applyFont="1" applyBorder="1" applyAlignment="1">
      <alignment horizontal="center" vertical="center"/>
    </xf>
    <xf numFmtId="41" fontId="36" fillId="0" borderId="14" xfId="7" applyFont="1" applyBorder="1" applyAlignment="1">
      <alignment horizontal="center" vertical="center"/>
    </xf>
    <xf numFmtId="168" fontId="35" fillId="0" borderId="14" xfId="0" applyNumberFormat="1" applyFont="1" applyBorder="1" applyAlignment="1">
      <alignment horizontal="center" vertical="center"/>
    </xf>
    <xf numFmtId="41" fontId="35" fillId="0" borderId="14" xfId="7" applyFont="1" applyBorder="1" applyAlignment="1">
      <alignment horizontal="center" vertical="center"/>
    </xf>
    <xf numFmtId="168" fontId="29" fillId="0" borderId="14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/>
    </xf>
    <xf numFmtId="168" fontId="35" fillId="0" borderId="14" xfId="0" applyNumberFormat="1" applyFont="1" applyBorder="1" applyAlignment="1">
      <alignment horizontal="center" vertical="center" wrapText="1"/>
    </xf>
    <xf numFmtId="41" fontId="29" fillId="0" borderId="14" xfId="7" applyFont="1" applyBorder="1" applyAlignment="1">
      <alignment horizontal="center" vertical="center"/>
    </xf>
    <xf numFmtId="41" fontId="33" fillId="0" borderId="14" xfId="0" applyNumberFormat="1" applyFont="1" applyBorder="1" applyAlignment="1">
      <alignment horizontal="center" vertical="center"/>
    </xf>
    <xf numFmtId="41" fontId="36" fillId="0" borderId="14" xfId="0" applyNumberFormat="1" applyFont="1" applyBorder="1" applyAlignment="1">
      <alignment horizontal="center" vertical="center"/>
    </xf>
    <xf numFmtId="3" fontId="28" fillId="5" borderId="14" xfId="0" applyNumberFormat="1" applyFont="1" applyFill="1" applyBorder="1" applyAlignment="1">
      <alignment horizontal="center" vertical="center"/>
    </xf>
    <xf numFmtId="3" fontId="32" fillId="0" borderId="14" xfId="0" applyNumberFormat="1" applyFont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 vertical="center"/>
    </xf>
    <xf numFmtId="3" fontId="33" fillId="9" borderId="14" xfId="0" applyNumberFormat="1" applyFont="1" applyFill="1" applyBorder="1" applyAlignment="1">
      <alignment horizontal="center" vertical="center"/>
    </xf>
    <xf numFmtId="3" fontId="28" fillId="6" borderId="14" xfId="0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3" fontId="28" fillId="4" borderId="14" xfId="0" applyNumberFormat="1" applyFont="1" applyFill="1" applyBorder="1" applyAlignment="1">
      <alignment horizontal="center" vertical="center"/>
    </xf>
    <xf numFmtId="3" fontId="28" fillId="0" borderId="14" xfId="0" applyNumberFormat="1" applyFont="1" applyBorder="1" applyAlignment="1">
      <alignment horizontal="center" vertical="center"/>
    </xf>
    <xf numFmtId="3" fontId="29" fillId="11" borderId="14" xfId="0" applyNumberFormat="1" applyFont="1" applyFill="1" applyBorder="1" applyAlignment="1">
      <alignment horizontal="center" vertical="center" wrapText="1"/>
    </xf>
    <xf numFmtId="166" fontId="28" fillId="4" borderId="14" xfId="1" applyNumberFormat="1" applyFont="1" applyFill="1" applyBorder="1" applyAlignment="1">
      <alignment horizontal="center" vertical="center"/>
    </xf>
    <xf numFmtId="3" fontId="29" fillId="2" borderId="14" xfId="0" applyNumberFormat="1" applyFont="1" applyFill="1" applyBorder="1" applyAlignment="1">
      <alignment horizontal="center" vertical="center" wrapText="1"/>
    </xf>
    <xf numFmtId="3" fontId="28" fillId="4" borderId="14" xfId="0" applyNumberFormat="1" applyFont="1" applyFill="1" applyBorder="1" applyAlignment="1">
      <alignment horizontal="center" vertical="center" wrapText="1"/>
    </xf>
    <xf numFmtId="3" fontId="29" fillId="9" borderId="14" xfId="0" applyNumberFormat="1" applyFont="1" applyFill="1" applyBorder="1" applyAlignment="1">
      <alignment horizontal="center" vertical="center"/>
    </xf>
    <xf numFmtId="3" fontId="28" fillId="9" borderId="14" xfId="0" applyNumberFormat="1" applyFont="1" applyFill="1" applyBorder="1" applyAlignment="1">
      <alignment horizontal="center" vertical="center"/>
    </xf>
    <xf numFmtId="3" fontId="32" fillId="9" borderId="14" xfId="0" applyNumberFormat="1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41" fontId="35" fillId="11" borderId="14" xfId="0" applyNumberFormat="1" applyFont="1" applyFill="1" applyBorder="1" applyAlignment="1">
      <alignment horizontal="center" vertical="center"/>
    </xf>
    <xf numFmtId="0" fontId="35" fillId="11" borderId="14" xfId="0" applyFont="1" applyFill="1" applyBorder="1" applyAlignment="1">
      <alignment horizontal="center" vertical="center" wrapText="1"/>
    </xf>
    <xf numFmtId="0" fontId="29" fillId="12" borderId="1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12" borderId="14" xfId="0" applyFont="1" applyFill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/>
    </xf>
    <xf numFmtId="41" fontId="28" fillId="12" borderId="14" xfId="0" applyNumberFormat="1" applyFont="1" applyFill="1" applyBorder="1" applyAlignment="1">
      <alignment horizontal="center" vertical="center"/>
    </xf>
    <xf numFmtId="4" fontId="28" fillId="10" borderId="15" xfId="0" applyNumberFormat="1" applyFont="1" applyFill="1" applyBorder="1" applyAlignment="1">
      <alignment horizontal="center" vertical="center" wrapText="1"/>
    </xf>
    <xf numFmtId="4" fontId="28" fillId="10" borderId="48" xfId="0" applyNumberFormat="1" applyFont="1" applyFill="1" applyBorder="1" applyAlignment="1">
      <alignment horizontal="center" vertical="center" wrapText="1"/>
    </xf>
    <xf numFmtId="4" fontId="28" fillId="10" borderId="16" xfId="0" applyNumberFormat="1" applyFont="1" applyFill="1" applyBorder="1" applyAlignment="1">
      <alignment horizontal="center" vertical="center" wrapText="1"/>
    </xf>
    <xf numFmtId="4" fontId="28" fillId="10" borderId="14" xfId="0" applyNumberFormat="1" applyFont="1" applyFill="1" applyBorder="1" applyAlignment="1">
      <alignment horizontal="center" vertical="center"/>
    </xf>
    <xf numFmtId="4" fontId="28" fillId="10" borderId="14" xfId="0" applyNumberFormat="1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/>
    </xf>
    <xf numFmtId="0" fontId="18" fillId="7" borderId="16" xfId="4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</cellXfs>
  <cellStyles count="8">
    <cellStyle name="Milliers" xfId="1" builtinId="3"/>
    <cellStyle name="Milliers [0]" xfId="7" builtinId="6"/>
    <cellStyle name="Milliers 10" xfId="6" xr:uid="{00000000-0005-0000-0000-000001000000}"/>
    <cellStyle name="Milliers 2" xfId="5" xr:uid="{00000000-0005-0000-0000-000002000000}"/>
    <cellStyle name="Normal" xfId="0" builtinId="0"/>
    <cellStyle name="Normal 2" xfId="4" xr:uid="{00000000-0005-0000-0000-000004000000}"/>
    <cellStyle name="Normal 2 5" xfId="3" xr:uid="{00000000-0005-0000-0000-000005000000}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1"/>
  <sheetViews>
    <sheetView tabSelected="1" topLeftCell="A152" zoomScaleNormal="100" workbookViewId="0">
      <selection activeCell="B159" sqref="B159"/>
    </sheetView>
  </sheetViews>
  <sheetFormatPr baseColWidth="10" defaultColWidth="11.44140625" defaultRowHeight="13.8" x14ac:dyDescent="0.25"/>
  <cols>
    <col min="1" max="1" width="12.88671875" style="206" customWidth="1"/>
    <col min="2" max="2" width="70.88671875" style="152" customWidth="1"/>
    <col min="3" max="3" width="8" style="152" bestFit="1" customWidth="1"/>
    <col min="4" max="4" width="10.44140625" style="153" customWidth="1"/>
    <col min="5" max="5" width="13.5546875" style="152" bestFit="1" customWidth="1"/>
    <col min="6" max="6" width="14" style="152" bestFit="1" customWidth="1"/>
    <col min="7" max="7" width="11.44140625" style="139"/>
    <col min="8" max="8" width="14.109375" style="3" bestFit="1" customWidth="1"/>
    <col min="9" max="9" width="11.44140625" style="7"/>
    <col min="10" max="10" width="7.44140625" customWidth="1"/>
    <col min="11" max="11" width="18.109375" bestFit="1" customWidth="1"/>
    <col min="13" max="13" width="16.88671875" customWidth="1"/>
  </cols>
  <sheetData>
    <row r="1" spans="1:13" ht="30" customHeight="1" x14ac:dyDescent="0.25">
      <c r="A1" s="154" t="s">
        <v>0</v>
      </c>
      <c r="B1" s="155" t="s">
        <v>1</v>
      </c>
      <c r="C1" s="155" t="s">
        <v>2</v>
      </c>
      <c r="D1" s="155" t="s">
        <v>3</v>
      </c>
      <c r="E1" s="154" t="s">
        <v>4</v>
      </c>
      <c r="F1" s="155" t="s">
        <v>5</v>
      </c>
    </row>
    <row r="2" spans="1:13" ht="30" customHeight="1" x14ac:dyDescent="0.25">
      <c r="A2" s="207" t="s">
        <v>6</v>
      </c>
      <c r="B2" s="259" t="s">
        <v>7</v>
      </c>
      <c r="C2" s="260"/>
      <c r="D2" s="260"/>
      <c r="E2" s="260"/>
      <c r="F2" s="261"/>
    </row>
    <row r="3" spans="1:13" ht="30" customHeight="1" x14ac:dyDescent="0.25">
      <c r="A3" s="154">
        <v>1</v>
      </c>
      <c r="B3" s="159" t="s">
        <v>8</v>
      </c>
      <c r="C3" s="156"/>
      <c r="D3" s="157"/>
      <c r="E3" s="246"/>
      <c r="F3" s="156"/>
    </row>
    <row r="4" spans="1:13" s="7" customFormat="1" ht="41.4" x14ac:dyDescent="0.25">
      <c r="A4" s="160" t="s">
        <v>9</v>
      </c>
      <c r="B4" s="161" t="s">
        <v>10</v>
      </c>
      <c r="C4" s="162" t="s">
        <v>11</v>
      </c>
      <c r="D4" s="162">
        <v>1</v>
      </c>
      <c r="E4" s="178"/>
      <c r="F4" s="178">
        <f>D4*E4</f>
        <v>0</v>
      </c>
      <c r="G4" s="140"/>
      <c r="L4" s="10"/>
    </row>
    <row r="5" spans="1:13" s="4" customFormat="1" ht="30" customHeight="1" x14ac:dyDescent="0.25">
      <c r="A5" s="163"/>
      <c r="B5" s="164" t="s">
        <v>12</v>
      </c>
      <c r="C5" s="165"/>
      <c r="D5" s="166"/>
      <c r="E5" s="163"/>
      <c r="F5" s="247">
        <f>F4</f>
        <v>0</v>
      </c>
      <c r="G5" s="141"/>
      <c r="H5" s="3"/>
      <c r="I5" s="8"/>
      <c r="J5" s="1"/>
      <c r="K5" s="1"/>
      <c r="L5" s="1"/>
      <c r="M5" s="1"/>
    </row>
    <row r="6" spans="1:13" ht="30" customHeight="1" x14ac:dyDescent="0.25">
      <c r="A6" s="154">
        <v>2</v>
      </c>
      <c r="B6" s="159" t="s">
        <v>13</v>
      </c>
      <c r="C6" s="168" t="s">
        <v>14</v>
      </c>
      <c r="D6" s="168"/>
      <c r="E6" s="185"/>
      <c r="F6" s="168"/>
    </row>
    <row r="7" spans="1:13" ht="41.4" x14ac:dyDescent="0.25">
      <c r="A7" s="160" t="s">
        <v>15</v>
      </c>
      <c r="B7" s="203" t="s">
        <v>16</v>
      </c>
      <c r="C7" s="168" t="s">
        <v>17</v>
      </c>
      <c r="D7" s="168">
        <v>592.53</v>
      </c>
      <c r="E7" s="185"/>
      <c r="F7" s="174">
        <f>D7*E7</f>
        <v>0</v>
      </c>
      <c r="L7" s="6"/>
    </row>
    <row r="8" spans="1:13" ht="30" customHeight="1" x14ac:dyDescent="0.25">
      <c r="A8" s="160" t="s">
        <v>18</v>
      </c>
      <c r="B8" s="170" t="s">
        <v>19</v>
      </c>
      <c r="C8" s="168" t="s">
        <v>11</v>
      </c>
      <c r="D8" s="168">
        <v>1</v>
      </c>
      <c r="E8" s="174"/>
      <c r="F8" s="174">
        <f t="shared" ref="F8:F13" si="0">D8*E8</f>
        <v>0</v>
      </c>
      <c r="H8" s="144"/>
      <c r="L8" s="6"/>
    </row>
    <row r="9" spans="1:13" ht="30" customHeight="1" x14ac:dyDescent="0.25">
      <c r="A9" s="160" t="s">
        <v>20</v>
      </c>
      <c r="B9" s="170" t="s">
        <v>21</v>
      </c>
      <c r="C9" s="168" t="s">
        <v>22</v>
      </c>
      <c r="D9" s="168">
        <f>1.1*(1.1*1.1*6+0.9*0.9*2+0.8*0.8*37)*1</f>
        <v>35.816000000000003</v>
      </c>
      <c r="E9" s="185"/>
      <c r="F9" s="174">
        <f t="shared" si="0"/>
        <v>0</v>
      </c>
    </row>
    <row r="10" spans="1:13" ht="30" customHeight="1" x14ac:dyDescent="0.25">
      <c r="A10" s="160" t="s">
        <v>23</v>
      </c>
      <c r="B10" s="170" t="s">
        <v>24</v>
      </c>
      <c r="C10" s="168" t="s">
        <v>22</v>
      </c>
      <c r="D10" s="168">
        <f>1.1*(29.55*0.4*0.4+2.98*0.4*0.4+26.57*0.4*0.4+29.55*0.4*0.4+11.43*0.4*0.4+6.2*0.4*0.4+6.2*0.4*0.4+6.2*0.4*0.4+6.2*0.4*0.4+11.43*0.4*0.4+12.2*0.4*0.4+12.2*0.4*0.4)</f>
        <v>28.284960000000009</v>
      </c>
      <c r="E10" s="185"/>
      <c r="F10" s="174">
        <f t="shared" si="0"/>
        <v>0</v>
      </c>
    </row>
    <row r="11" spans="1:13" ht="55.2" x14ac:dyDescent="0.25">
      <c r="A11" s="160" t="s">
        <v>25</v>
      </c>
      <c r="B11" s="170" t="s">
        <v>26</v>
      </c>
      <c r="C11" s="168" t="s">
        <v>22</v>
      </c>
      <c r="D11" s="168">
        <f>D10+D9</f>
        <v>64.100960000000015</v>
      </c>
      <c r="E11" s="185"/>
      <c r="F11" s="174">
        <f t="shared" si="0"/>
        <v>0</v>
      </c>
      <c r="L11" s="3"/>
      <c r="M11" s="3"/>
    </row>
    <row r="12" spans="1:13" ht="55.2" x14ac:dyDescent="0.25">
      <c r="A12" s="160" t="s">
        <v>27</v>
      </c>
      <c r="B12" s="170" t="s">
        <v>28</v>
      </c>
      <c r="C12" s="168" t="s">
        <v>22</v>
      </c>
      <c r="D12" s="168">
        <f>(299.36*0.45)*1.1</f>
        <v>148.18320000000003</v>
      </c>
      <c r="E12" s="185"/>
      <c r="F12" s="174">
        <f t="shared" si="0"/>
        <v>0</v>
      </c>
      <c r="L12" s="3"/>
      <c r="M12" s="3"/>
    </row>
    <row r="13" spans="1:13" ht="27.6" x14ac:dyDescent="0.25">
      <c r="A13" s="160" t="s">
        <v>29</v>
      </c>
      <c r="B13" s="170" t="s">
        <v>30</v>
      </c>
      <c r="C13" s="168" t="s">
        <v>17</v>
      </c>
      <c r="D13" s="168">
        <f>299.36*1.1</f>
        <v>329.29600000000005</v>
      </c>
      <c r="E13" s="185"/>
      <c r="F13" s="174">
        <f t="shared" si="0"/>
        <v>0</v>
      </c>
      <c r="L13" s="3"/>
      <c r="M13" s="3"/>
    </row>
    <row r="14" spans="1:13" s="4" customFormat="1" ht="30" customHeight="1" x14ac:dyDescent="0.25">
      <c r="A14" s="158"/>
      <c r="B14" s="171" t="s">
        <v>31</v>
      </c>
      <c r="C14" s="172"/>
      <c r="D14" s="173"/>
      <c r="E14" s="236"/>
      <c r="F14" s="236">
        <f>SUM(F7:F13)</f>
        <v>0</v>
      </c>
      <c r="G14" s="141"/>
      <c r="H14" s="3"/>
      <c r="I14" s="8"/>
      <c r="J14" s="1"/>
      <c r="K14" s="1"/>
      <c r="L14" s="1"/>
      <c r="M14" s="5"/>
    </row>
    <row r="15" spans="1:13" ht="30" customHeight="1" x14ac:dyDescent="0.25">
      <c r="A15" s="154">
        <v>3</v>
      </c>
      <c r="B15" s="159" t="s">
        <v>32</v>
      </c>
      <c r="C15" s="175"/>
      <c r="D15" s="175"/>
      <c r="E15" s="237"/>
      <c r="F15" s="238"/>
      <c r="L15" s="3"/>
    </row>
    <row r="16" spans="1:13" ht="30" customHeight="1" x14ac:dyDescent="0.25">
      <c r="A16" s="174" t="s">
        <v>33</v>
      </c>
      <c r="B16" s="159" t="s">
        <v>34</v>
      </c>
      <c r="C16" s="168"/>
      <c r="D16" s="168"/>
      <c r="E16" s="237"/>
      <c r="F16" s="238"/>
      <c r="L16" s="3"/>
    </row>
    <row r="17" spans="1:13" ht="30" customHeight="1" x14ac:dyDescent="0.25">
      <c r="A17" s="174" t="s">
        <v>35</v>
      </c>
      <c r="B17" s="170" t="s">
        <v>36</v>
      </c>
      <c r="C17" s="168" t="s">
        <v>22</v>
      </c>
      <c r="D17" s="168">
        <f>1.1*(1.1*1.1*6+0.9*0.9*2+0.8*0.8*37)*0.05+1.1*(29.55*0.4*0.05+2.98*0.4*0.05+26.57*0.4*0.05+29.55*0.4*0.05+11.43*0.4*0.05+6.2*0.4*0.05+6.2*0.4*0.05+6.2*0.4*0.05+6.2*0.4*0.05+11.43*0.4*0.05+12.2*0.4*0.05)</f>
        <v>5.0580200000000017</v>
      </c>
      <c r="E17" s="185"/>
      <c r="F17" s="174">
        <f>D17*E17</f>
        <v>0</v>
      </c>
      <c r="K17" s="3"/>
      <c r="L17" s="3"/>
    </row>
    <row r="18" spans="1:13" ht="30" customHeight="1" x14ac:dyDescent="0.25">
      <c r="A18" s="174" t="s">
        <v>37</v>
      </c>
      <c r="B18" s="170" t="s">
        <v>38</v>
      </c>
      <c r="C18" s="168" t="s">
        <v>22</v>
      </c>
      <c r="D18" s="168">
        <f>1.1*(1.1*1.1*6*0.3+0.9*0.9*2*0.25+0.8*0.8*37*0.2)</f>
        <v>8.0509000000000022</v>
      </c>
      <c r="E18" s="185"/>
      <c r="F18" s="174">
        <f t="shared" ref="F18:F35" si="1">D18*E18</f>
        <v>0</v>
      </c>
      <c r="L18" s="3"/>
      <c r="M18" s="1"/>
    </row>
    <row r="19" spans="1:13" ht="30" customHeight="1" x14ac:dyDescent="0.25">
      <c r="A19" s="174" t="s">
        <v>39</v>
      </c>
      <c r="B19" s="170" t="s">
        <v>40</v>
      </c>
      <c r="C19" s="168" t="s">
        <v>22</v>
      </c>
      <c r="D19" s="168">
        <f>1.1*(29.55*0.4*0.2+2.98*0.4*0.2+26.57*0.4*0.2+29.55*0.4*0.2+11.43*0.4*0.2+6.2*0.4*0.2+6.2*0.4*0.2+6.2*0.4*0.2+6.2*0.4*0.2+11.43*0.4*0.2+12.2*0.4*0.2)</f>
        <v>13.068880000000005</v>
      </c>
      <c r="E19" s="185"/>
      <c r="F19" s="174">
        <f t="shared" si="1"/>
        <v>0</v>
      </c>
      <c r="L19" s="3"/>
      <c r="M19" s="1"/>
    </row>
    <row r="20" spans="1:13" ht="30" customHeight="1" x14ac:dyDescent="0.25">
      <c r="A20" s="174" t="s">
        <v>41</v>
      </c>
      <c r="B20" s="170" t="s">
        <v>42</v>
      </c>
      <c r="C20" s="168" t="s">
        <v>22</v>
      </c>
      <c r="D20" s="168">
        <f>((1.45*(0.15*0.15*4+0.2*0.2*27+0.2*0.15*10))+(1.45*(0.3*0.2*4)))*1.1</f>
        <v>2.7274500000000006</v>
      </c>
      <c r="E20" s="185"/>
      <c r="F20" s="174">
        <f t="shared" si="1"/>
        <v>0</v>
      </c>
      <c r="L20" s="3"/>
      <c r="M20" s="1"/>
    </row>
    <row r="21" spans="1:13" ht="30" customHeight="1" x14ac:dyDescent="0.25">
      <c r="A21" s="174" t="s">
        <v>43</v>
      </c>
      <c r="B21" s="170" t="s">
        <v>44</v>
      </c>
      <c r="C21" s="168" t="s">
        <v>22</v>
      </c>
      <c r="D21" s="168">
        <f>1.1*(29.55*0.4+2.98*0.4+26.57*0.4+29.55*0.4+11.43*0.4+6.2*0.4+6.2*0.4+6.2*0.4+6.2*0.4+11.43*0.4)</f>
        <v>59.976400000000019</v>
      </c>
      <c r="E21" s="185"/>
      <c r="F21" s="174">
        <f t="shared" si="1"/>
        <v>0</v>
      </c>
    </row>
    <row r="22" spans="1:13" ht="30" customHeight="1" x14ac:dyDescent="0.25">
      <c r="A22" s="174" t="s">
        <v>45</v>
      </c>
      <c r="B22" s="170" t="s">
        <v>46</v>
      </c>
      <c r="C22" s="168" t="s">
        <v>22</v>
      </c>
      <c r="D22" s="168">
        <f>1.1*(29.55*0.2*0.4+2.98*0.15*0.4+26.57*0.2*0.4+29.55*0.2*0.4+11.43*0.2*0.4+6.2*0.15*0.4+6.2*0.15*0.4+6.2*0.15*0.4+6.2*0.15*0.4+11.43*0.2*0.4)</f>
        <v>11.384120000000003</v>
      </c>
      <c r="E22" s="185"/>
      <c r="F22" s="174">
        <f t="shared" si="1"/>
        <v>0</v>
      </c>
    </row>
    <row r="23" spans="1:13" ht="36.75" customHeight="1" x14ac:dyDescent="0.25">
      <c r="A23" s="174" t="s">
        <v>47</v>
      </c>
      <c r="B23" s="170" t="s">
        <v>48</v>
      </c>
      <c r="C23" s="168" t="s">
        <v>22</v>
      </c>
      <c r="D23" s="168">
        <f>1.1*(35.73+1.45)*0.2*0.4</f>
        <v>3.2718400000000005</v>
      </c>
      <c r="E23" s="185"/>
      <c r="F23" s="174">
        <f t="shared" si="1"/>
        <v>0</v>
      </c>
    </row>
    <row r="24" spans="1:13" ht="41.4" x14ac:dyDescent="0.25">
      <c r="A24" s="174" t="s">
        <v>49</v>
      </c>
      <c r="B24" s="170" t="s">
        <v>50</v>
      </c>
      <c r="C24" s="168" t="s">
        <v>22</v>
      </c>
      <c r="D24" s="168">
        <f>(299.36*0.1)*1.1</f>
        <v>32.929600000000008</v>
      </c>
      <c r="E24" s="185"/>
      <c r="F24" s="174">
        <f t="shared" si="1"/>
        <v>0</v>
      </c>
    </row>
    <row r="25" spans="1:13" ht="30" customHeight="1" x14ac:dyDescent="0.25">
      <c r="A25" s="174" t="s">
        <v>51</v>
      </c>
      <c r="B25" s="170" t="s">
        <v>52</v>
      </c>
      <c r="C25" s="168" t="s">
        <v>17</v>
      </c>
      <c r="D25" s="168">
        <f>299.36*1.1</f>
        <v>329.29600000000005</v>
      </c>
      <c r="E25" s="185"/>
      <c r="F25" s="174">
        <f t="shared" si="1"/>
        <v>0</v>
      </c>
    </row>
    <row r="26" spans="1:13" ht="30" customHeight="1" x14ac:dyDescent="0.25">
      <c r="A26" s="174" t="s">
        <v>53</v>
      </c>
      <c r="B26" s="159" t="s">
        <v>54</v>
      </c>
      <c r="C26" s="168"/>
      <c r="D26" s="168"/>
      <c r="E26" s="238"/>
      <c r="F26" s="174"/>
    </row>
    <row r="27" spans="1:13" ht="30" customHeight="1" x14ac:dyDescent="0.25">
      <c r="A27" s="174" t="s">
        <v>55</v>
      </c>
      <c r="B27" s="170" t="s">
        <v>56</v>
      </c>
      <c r="C27" s="168" t="s">
        <v>22</v>
      </c>
      <c r="D27" s="168">
        <f>((3*(0.15*0.15*4+0.2*0.2*27+0.2*0.15*10+0.2*0.15*9))+(1.35*(0.15*0.1*3)))*1.1</f>
        <v>5.8088250000000015</v>
      </c>
      <c r="E27" s="185"/>
      <c r="F27" s="174">
        <f t="shared" si="1"/>
        <v>0</v>
      </c>
    </row>
    <row r="28" spans="1:13" ht="30" customHeight="1" x14ac:dyDescent="0.25">
      <c r="A28" s="174" t="s">
        <v>57</v>
      </c>
      <c r="B28" s="170" t="s">
        <v>58</v>
      </c>
      <c r="C28" s="176" t="s">
        <v>22</v>
      </c>
      <c r="D28" s="176">
        <f>1.1*(29.55*0.2*0.1+2.98*0.15*0.1+26.57*0.2*0.1+11.43*0.2*0.1+6.2*0.15*0.1+6.2*0.15*0.1+6.2*0.15*0.1+6.2*0.15*0.1+11.43*0.2*0.1)</f>
        <v>2.1959300000000002</v>
      </c>
      <c r="E28" s="239"/>
      <c r="F28" s="174">
        <f t="shared" si="1"/>
        <v>0</v>
      </c>
    </row>
    <row r="29" spans="1:13" ht="30" customHeight="1" x14ac:dyDescent="0.25">
      <c r="A29" s="174" t="s">
        <v>59</v>
      </c>
      <c r="B29" s="170" t="s">
        <v>60</v>
      </c>
      <c r="C29" s="168" t="s">
        <v>22</v>
      </c>
      <c r="D29" s="168">
        <f>1.1*(29.55*0.2*0.2+2.98*0.15*0.2+26.57*0.2*0.2+29.55*0.2*0.2+11.43*0.2*0.2+6.2*0.15*0.2+6.2*0.15*0.2+6.2*0.15*0.2+6.2*0.15*0.2+11.43*0.2*0.2)</f>
        <v>5.6920600000000015</v>
      </c>
      <c r="E29" s="185"/>
      <c r="F29" s="174">
        <f t="shared" si="1"/>
        <v>0</v>
      </c>
    </row>
    <row r="30" spans="1:13" ht="30" customHeight="1" x14ac:dyDescent="0.25">
      <c r="A30" s="174" t="s">
        <v>61</v>
      </c>
      <c r="B30" s="170" t="s">
        <v>62</v>
      </c>
      <c r="C30" s="177" t="s">
        <v>22</v>
      </c>
      <c r="D30" s="177">
        <f>1.1*(11.43*0.2*0.3+6.2*0.15*0.3+6.2*0.15*0.3+6.2*0.15*0.3+11.43*0.2*0.3)</f>
        <v>2.4294599999999997</v>
      </c>
      <c r="E30" s="248"/>
      <c r="F30" s="174">
        <f t="shared" si="1"/>
        <v>0</v>
      </c>
    </row>
    <row r="31" spans="1:13" s="3" customFormat="1" ht="30" customHeight="1" x14ac:dyDescent="0.25">
      <c r="A31" s="174" t="s">
        <v>63</v>
      </c>
      <c r="B31" s="170" t="s">
        <v>64</v>
      </c>
      <c r="C31" s="168" t="s">
        <v>22</v>
      </c>
      <c r="D31" s="168">
        <f>1.1*(29.55*0.2*0.2+29.55*0.2*0.2+29.55*0.2*0.2)</f>
        <v>3.9006000000000007</v>
      </c>
      <c r="E31" s="185"/>
      <c r="F31" s="174">
        <f t="shared" si="1"/>
        <v>0</v>
      </c>
      <c r="G31" s="139"/>
    </row>
    <row r="32" spans="1:13" s="3" customFormat="1" ht="30" customHeight="1" x14ac:dyDescent="0.25">
      <c r="A32" s="178" t="s">
        <v>65</v>
      </c>
      <c r="B32" s="179" t="s">
        <v>66</v>
      </c>
      <c r="C32" s="177" t="s">
        <v>22</v>
      </c>
      <c r="D32" s="177">
        <f>1.1*(2*10.95*0.2*0.2)</f>
        <v>0.96360000000000012</v>
      </c>
      <c r="E32" s="248"/>
      <c r="F32" s="174">
        <f t="shared" si="1"/>
        <v>0</v>
      </c>
      <c r="G32" s="139"/>
    </row>
    <row r="33" spans="1:17" ht="30" customHeight="1" x14ac:dyDescent="0.25">
      <c r="A33" s="174" t="s">
        <v>67</v>
      </c>
      <c r="B33" s="170" t="s">
        <v>68</v>
      </c>
      <c r="C33" s="168" t="s">
        <v>22</v>
      </c>
      <c r="D33" s="168">
        <f>(2.94+8.61+3.6)*0.1</f>
        <v>1.5149999999999999</v>
      </c>
      <c r="E33" s="248"/>
      <c r="F33" s="174">
        <f t="shared" si="1"/>
        <v>0</v>
      </c>
    </row>
    <row r="34" spans="1:17" ht="30" customHeight="1" x14ac:dyDescent="0.25">
      <c r="A34" s="174" t="s">
        <v>69</v>
      </c>
      <c r="B34" s="170" t="s">
        <v>70</v>
      </c>
      <c r="C34" s="168" t="s">
        <v>22</v>
      </c>
      <c r="D34" s="168">
        <v>0.5</v>
      </c>
      <c r="E34" s="248"/>
      <c r="F34" s="174">
        <f t="shared" si="1"/>
        <v>0</v>
      </c>
      <c r="H34"/>
      <c r="I34" s="3"/>
    </row>
    <row r="35" spans="1:17" s="3" customFormat="1" ht="30" customHeight="1" x14ac:dyDescent="0.25">
      <c r="A35" s="174" t="s">
        <v>71</v>
      </c>
      <c r="B35" s="170" t="s">
        <v>72</v>
      </c>
      <c r="C35" s="168" t="s">
        <v>17</v>
      </c>
      <c r="D35" s="168">
        <f>1.1*(1.25*29.75)</f>
        <v>40.90625</v>
      </c>
      <c r="E35" s="185"/>
      <c r="F35" s="174">
        <f t="shared" si="1"/>
        <v>0</v>
      </c>
      <c r="G35" s="139"/>
    </row>
    <row r="36" spans="1:17" s="4" customFormat="1" ht="30" customHeight="1" x14ac:dyDescent="0.25">
      <c r="A36" s="205"/>
      <c r="B36" s="180" t="s">
        <v>73</v>
      </c>
      <c r="C36" s="181"/>
      <c r="D36" s="182"/>
      <c r="E36" s="240"/>
      <c r="F36" s="240">
        <f>SUM(F17:F35)</f>
        <v>0</v>
      </c>
      <c r="G36" s="141"/>
      <c r="H36" s="3"/>
      <c r="I36" s="8"/>
      <c r="J36" s="1"/>
      <c r="K36" s="1"/>
      <c r="L36" s="1"/>
      <c r="M36" s="1"/>
      <c r="N36" s="1"/>
      <c r="O36" s="1"/>
      <c r="P36" s="1"/>
      <c r="Q36" s="1"/>
    </row>
    <row r="37" spans="1:17" ht="30" customHeight="1" x14ac:dyDescent="0.25">
      <c r="A37" s="154">
        <v>4</v>
      </c>
      <c r="B37" s="159" t="s">
        <v>74</v>
      </c>
      <c r="C37" s="168"/>
      <c r="D37" s="168"/>
      <c r="E37" s="185"/>
      <c r="F37" s="185"/>
      <c r="H37" s="137"/>
      <c r="I37" s="137"/>
      <c r="J37" s="137"/>
      <c r="K37" s="137"/>
      <c r="L37" s="137"/>
    </row>
    <row r="38" spans="1:17" ht="30" customHeight="1" x14ac:dyDescent="0.25">
      <c r="A38" s="174" t="s">
        <v>75</v>
      </c>
      <c r="B38" s="170" t="s">
        <v>76</v>
      </c>
      <c r="C38" s="168" t="s">
        <v>17</v>
      </c>
      <c r="D38" s="168">
        <v>130</v>
      </c>
      <c r="E38" s="185"/>
      <c r="F38" s="174">
        <f>D38*E38</f>
        <v>0</v>
      </c>
      <c r="I38" s="3"/>
      <c r="J38" s="3"/>
      <c r="K38" s="3"/>
      <c r="L38" s="7"/>
      <c r="M38" s="138"/>
      <c r="N38" s="138"/>
    </row>
    <row r="39" spans="1:17" ht="30" customHeight="1" x14ac:dyDescent="0.25">
      <c r="A39" s="174" t="s">
        <v>77</v>
      </c>
      <c r="B39" s="170" t="s">
        <v>78</v>
      </c>
      <c r="C39" s="168" t="s">
        <v>17</v>
      </c>
      <c r="D39" s="168">
        <v>130</v>
      </c>
      <c r="E39" s="185"/>
      <c r="F39" s="174">
        <f t="shared" ref="F39:F47" si="2">D39*E39</f>
        <v>0</v>
      </c>
      <c r="I39" s="3"/>
      <c r="J39" s="3"/>
      <c r="M39" s="138"/>
      <c r="N39" s="138"/>
    </row>
    <row r="40" spans="1:17" ht="30" customHeight="1" x14ac:dyDescent="0.25">
      <c r="A40" s="174" t="s">
        <v>79</v>
      </c>
      <c r="B40" s="170" t="s">
        <v>80</v>
      </c>
      <c r="C40" s="168" t="s">
        <v>17</v>
      </c>
      <c r="D40" s="168">
        <v>35</v>
      </c>
      <c r="E40" s="185"/>
      <c r="F40" s="174">
        <f t="shared" si="2"/>
        <v>0</v>
      </c>
      <c r="I40" s="3"/>
      <c r="M40" s="138"/>
      <c r="N40" s="138"/>
    </row>
    <row r="41" spans="1:17" ht="30" customHeight="1" x14ac:dyDescent="0.25">
      <c r="A41" s="174" t="s">
        <v>81</v>
      </c>
      <c r="B41" s="170" t="s">
        <v>82</v>
      </c>
      <c r="C41" s="168" t="s">
        <v>17</v>
      </c>
      <c r="D41" s="168">
        <v>45</v>
      </c>
      <c r="E41" s="185"/>
      <c r="F41" s="174">
        <f t="shared" si="2"/>
        <v>0</v>
      </c>
      <c r="I41" s="3"/>
      <c r="M41" s="138"/>
      <c r="N41" s="138"/>
    </row>
    <row r="42" spans="1:17" ht="30" customHeight="1" x14ac:dyDescent="0.25">
      <c r="A42" s="174" t="s">
        <v>83</v>
      </c>
      <c r="B42" s="170" t="s">
        <v>84</v>
      </c>
      <c r="C42" s="168" t="s">
        <v>85</v>
      </c>
      <c r="D42" s="168">
        <v>40</v>
      </c>
      <c r="E42" s="185"/>
      <c r="F42" s="174">
        <f t="shared" si="2"/>
        <v>0</v>
      </c>
      <c r="I42" s="3"/>
      <c r="M42" s="138"/>
      <c r="N42" s="138"/>
    </row>
    <row r="43" spans="1:17" ht="41.4" x14ac:dyDescent="0.25">
      <c r="A43" s="174" t="s">
        <v>86</v>
      </c>
      <c r="B43" s="170" t="s">
        <v>87</v>
      </c>
      <c r="C43" s="168" t="s">
        <v>17</v>
      </c>
      <c r="D43" s="168">
        <v>240</v>
      </c>
      <c r="E43" s="185"/>
      <c r="F43" s="174">
        <f t="shared" si="2"/>
        <v>0</v>
      </c>
      <c r="I43" s="3"/>
      <c r="M43" s="138"/>
      <c r="N43" s="138"/>
    </row>
    <row r="44" spans="1:17" s="3" customFormat="1" ht="30" customHeight="1" x14ac:dyDescent="0.25">
      <c r="A44" s="174" t="s">
        <v>88</v>
      </c>
      <c r="B44" s="170" t="s">
        <v>89</v>
      </c>
      <c r="C44" s="168" t="s">
        <v>17</v>
      </c>
      <c r="D44" s="168">
        <v>130</v>
      </c>
      <c r="E44" s="185"/>
      <c r="F44" s="174">
        <f t="shared" si="2"/>
        <v>0</v>
      </c>
      <c r="G44" s="139"/>
      <c r="J44" s="7"/>
      <c r="M44" s="138"/>
      <c r="N44" s="138"/>
      <c r="Q44" s="7"/>
    </row>
    <row r="45" spans="1:17" s="3" customFormat="1" ht="30" customHeight="1" x14ac:dyDescent="0.25">
      <c r="A45" s="174" t="s">
        <v>90</v>
      </c>
      <c r="B45" s="170" t="s">
        <v>91</v>
      </c>
      <c r="C45" s="168" t="s">
        <v>17</v>
      </c>
      <c r="D45" s="168">
        <v>410</v>
      </c>
      <c r="E45" s="185"/>
      <c r="F45" s="174">
        <f t="shared" si="2"/>
        <v>0</v>
      </c>
      <c r="G45" s="139"/>
      <c r="O45" s="1"/>
      <c r="Q45" s="7"/>
    </row>
    <row r="46" spans="1:17" s="3" customFormat="1" ht="30" customHeight="1" x14ac:dyDescent="0.25">
      <c r="A46" s="174" t="s">
        <v>92</v>
      </c>
      <c r="B46" s="170" t="s">
        <v>93</v>
      </c>
      <c r="C46" s="168" t="s">
        <v>94</v>
      </c>
      <c r="D46" s="168">
        <v>1</v>
      </c>
      <c r="E46" s="185"/>
      <c r="F46" s="174">
        <f t="shared" si="2"/>
        <v>0</v>
      </c>
      <c r="G46" s="139"/>
      <c r="L46" s="142"/>
      <c r="M46" s="138"/>
      <c r="N46" s="138"/>
    </row>
    <row r="47" spans="1:17" s="3" customFormat="1" ht="30" customHeight="1" x14ac:dyDescent="0.25">
      <c r="A47" s="174" t="s">
        <v>95</v>
      </c>
      <c r="B47" s="170" t="s">
        <v>96</v>
      </c>
      <c r="C47" s="168" t="s">
        <v>17</v>
      </c>
      <c r="D47" s="168">
        <v>20</v>
      </c>
      <c r="E47" s="185"/>
      <c r="F47" s="174">
        <f t="shared" si="2"/>
        <v>0</v>
      </c>
      <c r="G47" s="139"/>
      <c r="L47" s="142"/>
      <c r="M47" s="138"/>
      <c r="N47" s="138"/>
    </row>
    <row r="48" spans="1:17" s="4" customFormat="1" ht="30" customHeight="1" x14ac:dyDescent="0.25">
      <c r="A48" s="163"/>
      <c r="B48" s="164" t="s">
        <v>97</v>
      </c>
      <c r="C48" s="183"/>
      <c r="D48" s="184"/>
      <c r="E48" s="241"/>
      <c r="F48" s="245">
        <f>SUM(F38:F47)</f>
        <v>0</v>
      </c>
      <c r="G48" s="141"/>
      <c r="H48" s="3"/>
      <c r="I48" s="8"/>
      <c r="J48" s="1"/>
      <c r="K48" s="1"/>
      <c r="L48" s="1"/>
      <c r="M48" s="1"/>
      <c r="N48" s="1"/>
      <c r="O48" s="1"/>
      <c r="P48" s="1"/>
      <c r="Q48" s="1"/>
    </row>
    <row r="49" spans="1:14" ht="30" customHeight="1" x14ac:dyDescent="0.25">
      <c r="A49" s="154">
        <v>5</v>
      </c>
      <c r="B49" s="159" t="s">
        <v>98</v>
      </c>
      <c r="C49" s="168"/>
      <c r="D49" s="185"/>
      <c r="E49" s="185"/>
      <c r="F49" s="185"/>
      <c r="H49" s="139"/>
      <c r="I49" s="139"/>
    </row>
    <row r="50" spans="1:14" ht="30" customHeight="1" x14ac:dyDescent="0.25">
      <c r="A50" s="174" t="s">
        <v>99</v>
      </c>
      <c r="B50" s="195" t="s">
        <v>100</v>
      </c>
      <c r="C50" s="168" t="s">
        <v>85</v>
      </c>
      <c r="D50" s="185">
        <v>9</v>
      </c>
      <c r="E50" s="185"/>
      <c r="F50" s="174">
        <f>D50*E50</f>
        <v>0</v>
      </c>
      <c r="G50" s="143"/>
      <c r="H50" s="143"/>
      <c r="I50" s="143"/>
      <c r="M50" s="3"/>
    </row>
    <row r="51" spans="1:14" ht="30" customHeight="1" x14ac:dyDescent="0.25">
      <c r="A51" s="174" t="s">
        <v>101</v>
      </c>
      <c r="B51" s="195" t="s">
        <v>102</v>
      </c>
      <c r="C51" s="168" t="s">
        <v>85</v>
      </c>
      <c r="D51" s="185">
        <v>3</v>
      </c>
      <c r="E51" s="185"/>
      <c r="F51" s="174">
        <f t="shared" ref="F51:F54" si="3">D51*E51</f>
        <v>0</v>
      </c>
      <c r="M51" s="3"/>
    </row>
    <row r="52" spans="1:14" ht="30" customHeight="1" x14ac:dyDescent="0.25">
      <c r="A52" s="174" t="s">
        <v>103</v>
      </c>
      <c r="B52" s="195" t="s">
        <v>104</v>
      </c>
      <c r="C52" s="168" t="s">
        <v>85</v>
      </c>
      <c r="D52" s="185">
        <v>1</v>
      </c>
      <c r="E52" s="185"/>
      <c r="F52" s="174">
        <f t="shared" si="3"/>
        <v>0</v>
      </c>
      <c r="M52" s="3"/>
    </row>
    <row r="53" spans="1:14" ht="30" customHeight="1" x14ac:dyDescent="0.25">
      <c r="A53" s="174" t="s">
        <v>105</v>
      </c>
      <c r="B53" s="195" t="s">
        <v>106</v>
      </c>
      <c r="C53" s="168" t="s">
        <v>85</v>
      </c>
      <c r="D53" s="185">
        <v>3</v>
      </c>
      <c r="E53" s="185"/>
      <c r="F53" s="174">
        <f t="shared" si="3"/>
        <v>0</v>
      </c>
      <c r="M53" s="3"/>
    </row>
    <row r="54" spans="1:14" ht="30" customHeight="1" x14ac:dyDescent="0.25">
      <c r="A54" s="174" t="s">
        <v>107</v>
      </c>
      <c r="B54" s="195" t="s">
        <v>108</v>
      </c>
      <c r="C54" s="168" t="s">
        <v>85</v>
      </c>
      <c r="D54" s="185">
        <v>5</v>
      </c>
      <c r="E54" s="185"/>
      <c r="F54" s="174">
        <f t="shared" si="3"/>
        <v>0</v>
      </c>
      <c r="M54" s="3"/>
    </row>
    <row r="55" spans="1:14" s="1" customFormat="1" ht="30" customHeight="1" x14ac:dyDescent="0.25">
      <c r="A55" s="163"/>
      <c r="B55" s="164" t="s">
        <v>109</v>
      </c>
      <c r="C55" s="183"/>
      <c r="D55" s="184"/>
      <c r="E55" s="241"/>
      <c r="F55" s="242">
        <f>SUM(F50:F54)</f>
        <v>0</v>
      </c>
      <c r="G55" s="141"/>
      <c r="H55" s="3"/>
    </row>
    <row r="56" spans="1:14" ht="30" customHeight="1" x14ac:dyDescent="0.25">
      <c r="A56" s="154">
        <v>6</v>
      </c>
      <c r="B56" s="159" t="s">
        <v>110</v>
      </c>
      <c r="C56" s="168"/>
      <c r="D56" s="168"/>
      <c r="E56" s="243"/>
      <c r="F56" s="185"/>
    </row>
    <row r="57" spans="1:14" s="3" customFormat="1" ht="30" customHeight="1" x14ac:dyDescent="0.25">
      <c r="A57" s="174" t="s">
        <v>111</v>
      </c>
      <c r="B57" s="170" t="s">
        <v>112</v>
      </c>
      <c r="C57" s="168" t="s">
        <v>17</v>
      </c>
      <c r="D57" s="168">
        <f>1.1*(29.35+29.35+11.63+11.63+1.53+1.53+1.7+1.7)*0.4</f>
        <v>38.904800000000009</v>
      </c>
      <c r="E57" s="185"/>
      <c r="F57" s="174">
        <f>D57*E57</f>
        <v>0</v>
      </c>
      <c r="G57" s="139"/>
    </row>
    <row r="58" spans="1:14" s="3" customFormat="1" ht="30" customHeight="1" x14ac:dyDescent="0.25">
      <c r="A58" s="174" t="s">
        <v>113</v>
      </c>
      <c r="B58" s="170" t="s">
        <v>114</v>
      </c>
      <c r="C58" s="168" t="s">
        <v>17</v>
      </c>
      <c r="D58" s="168">
        <f>1.1*(11.63+11.63)*0.5</f>
        <v>12.793000000000001</v>
      </c>
      <c r="E58" s="185"/>
      <c r="F58" s="174">
        <f>D58*E58</f>
        <v>0</v>
      </c>
      <c r="G58" s="139"/>
    </row>
    <row r="59" spans="1:14" s="4" customFormat="1" ht="30" customHeight="1" x14ac:dyDescent="0.25">
      <c r="A59" s="163"/>
      <c r="B59" s="164" t="s">
        <v>115</v>
      </c>
      <c r="C59" s="183"/>
      <c r="D59" s="184"/>
      <c r="E59" s="241"/>
      <c r="F59" s="242">
        <f>SUM(F57:F58)</f>
        <v>0</v>
      </c>
      <c r="G59" s="141"/>
      <c r="H59" s="3"/>
      <c r="I59" s="8"/>
      <c r="J59" s="1"/>
      <c r="K59" s="1"/>
      <c r="L59" s="1"/>
      <c r="M59" s="1"/>
      <c r="N59" s="1"/>
    </row>
    <row r="60" spans="1:14" ht="30" customHeight="1" x14ac:dyDescent="0.25">
      <c r="A60" s="154">
        <v>7</v>
      </c>
      <c r="B60" s="159" t="s">
        <v>116</v>
      </c>
      <c r="C60" s="188"/>
      <c r="D60" s="168"/>
      <c r="E60" s="243"/>
      <c r="F60" s="185"/>
    </row>
    <row r="61" spans="1:14" ht="30" customHeight="1" x14ac:dyDescent="0.25">
      <c r="A61" s="174" t="s">
        <v>117</v>
      </c>
      <c r="B61" s="170" t="s">
        <v>118</v>
      </c>
      <c r="C61" s="168" t="s">
        <v>17</v>
      </c>
      <c r="D61" s="168">
        <v>165</v>
      </c>
      <c r="E61" s="185"/>
      <c r="F61" s="174">
        <f>D61*E61</f>
        <v>0</v>
      </c>
      <c r="I61" s="3"/>
      <c r="J61" s="3"/>
      <c r="K61" s="3"/>
      <c r="L61" s="7"/>
      <c r="M61" s="138"/>
      <c r="N61" s="138"/>
    </row>
    <row r="62" spans="1:14" ht="30" customHeight="1" x14ac:dyDescent="0.25">
      <c r="A62" s="174" t="s">
        <v>119</v>
      </c>
      <c r="B62" s="170" t="s">
        <v>120</v>
      </c>
      <c r="C62" s="168" t="s">
        <v>17</v>
      </c>
      <c r="D62" s="168">
        <v>125</v>
      </c>
      <c r="E62" s="185"/>
      <c r="F62" s="174">
        <f t="shared" ref="F62:F65" si="4">D62*E62</f>
        <v>0</v>
      </c>
      <c r="I62" s="3"/>
      <c r="M62" s="138"/>
      <c r="N62" s="138"/>
    </row>
    <row r="63" spans="1:14" ht="30" customHeight="1" x14ac:dyDescent="0.25">
      <c r="A63" s="174" t="s">
        <v>121</v>
      </c>
      <c r="B63" s="170" t="s">
        <v>122</v>
      </c>
      <c r="C63" s="168" t="s">
        <v>17</v>
      </c>
      <c r="D63" s="168">
        <v>25</v>
      </c>
      <c r="E63" s="185"/>
      <c r="F63" s="174">
        <f t="shared" si="4"/>
        <v>0</v>
      </c>
      <c r="I63" s="3"/>
      <c r="M63" s="138"/>
      <c r="N63" s="138"/>
    </row>
    <row r="64" spans="1:14" ht="30" customHeight="1" x14ac:dyDescent="0.25">
      <c r="A64" s="174" t="s">
        <v>123</v>
      </c>
      <c r="B64" s="170" t="s">
        <v>124</v>
      </c>
      <c r="C64" s="168" t="s">
        <v>17</v>
      </c>
      <c r="D64" s="168">
        <v>70</v>
      </c>
      <c r="E64" s="185"/>
      <c r="F64" s="174">
        <f t="shared" si="4"/>
        <v>0</v>
      </c>
      <c r="I64" s="3"/>
      <c r="M64" s="138"/>
      <c r="N64" s="138"/>
    </row>
    <row r="65" spans="1:14" ht="30" customHeight="1" x14ac:dyDescent="0.25">
      <c r="A65" s="174" t="s">
        <v>125</v>
      </c>
      <c r="B65" s="170" t="s">
        <v>126</v>
      </c>
      <c r="C65" s="168" t="s">
        <v>17</v>
      </c>
      <c r="D65" s="168">
        <v>52</v>
      </c>
      <c r="E65" s="185"/>
      <c r="F65" s="174">
        <f t="shared" si="4"/>
        <v>0</v>
      </c>
      <c r="I65" s="3"/>
      <c r="M65" s="138"/>
      <c r="N65" s="138"/>
    </row>
    <row r="66" spans="1:14" s="4" customFormat="1" ht="30" customHeight="1" x14ac:dyDescent="0.25">
      <c r="A66" s="163"/>
      <c r="B66" s="164" t="s">
        <v>127</v>
      </c>
      <c r="C66" s="183"/>
      <c r="D66" s="184"/>
      <c r="E66" s="241"/>
      <c r="F66" s="242">
        <f>SUM(F61:F65)</f>
        <v>0</v>
      </c>
      <c r="G66" s="141"/>
      <c r="H66" s="11"/>
      <c r="I66" s="8"/>
      <c r="J66" s="1"/>
      <c r="K66" s="1"/>
      <c r="L66" s="1"/>
      <c r="M66" s="1"/>
      <c r="N66" s="1"/>
    </row>
    <row r="67" spans="1:14" ht="30" customHeight="1" x14ac:dyDescent="0.25">
      <c r="A67" s="189">
        <v>8</v>
      </c>
      <c r="B67" s="190" t="s">
        <v>128</v>
      </c>
      <c r="C67" s="177"/>
      <c r="D67" s="177"/>
      <c r="E67" s="249"/>
      <c r="F67" s="248"/>
    </row>
    <row r="68" spans="1:14" ht="30" customHeight="1" x14ac:dyDescent="0.25">
      <c r="A68" s="189" t="s">
        <v>129</v>
      </c>
      <c r="B68" s="190" t="s">
        <v>130</v>
      </c>
      <c r="C68" s="191"/>
      <c r="D68" s="177"/>
      <c r="E68" s="249"/>
      <c r="F68" s="249"/>
    </row>
    <row r="69" spans="1:14" ht="30" customHeight="1" x14ac:dyDescent="0.25">
      <c r="A69" s="189" t="s">
        <v>131</v>
      </c>
      <c r="B69" s="190" t="s">
        <v>132</v>
      </c>
      <c r="C69" s="191"/>
      <c r="D69" s="177"/>
      <c r="E69" s="249"/>
      <c r="F69" s="249"/>
    </row>
    <row r="70" spans="1:14" ht="41.4" x14ac:dyDescent="0.25">
      <c r="A70" s="178"/>
      <c r="B70" s="179" t="s">
        <v>133</v>
      </c>
      <c r="C70" s="168"/>
      <c r="D70" s="168"/>
      <c r="E70" s="185"/>
      <c r="F70" s="174"/>
    </row>
    <row r="71" spans="1:14" ht="30" customHeight="1" x14ac:dyDescent="0.25">
      <c r="A71" s="178" t="s">
        <v>134</v>
      </c>
      <c r="B71" s="179" t="s">
        <v>135</v>
      </c>
      <c r="C71" s="168" t="s">
        <v>136</v>
      </c>
      <c r="D71" s="168">
        <v>110</v>
      </c>
      <c r="E71" s="185"/>
      <c r="F71" s="174">
        <f>D71*E71</f>
        <v>0</v>
      </c>
    </row>
    <row r="72" spans="1:14" ht="30" customHeight="1" x14ac:dyDescent="0.25">
      <c r="A72" s="178" t="s">
        <v>137</v>
      </c>
      <c r="B72" s="179" t="s">
        <v>138</v>
      </c>
      <c r="C72" s="168" t="s">
        <v>136</v>
      </c>
      <c r="D72" s="168">
        <v>20</v>
      </c>
      <c r="E72" s="185"/>
      <c r="F72" s="174">
        <f t="shared" ref="F72:F111" si="5">D72*E72</f>
        <v>0</v>
      </c>
    </row>
    <row r="73" spans="1:14" ht="30" customHeight="1" x14ac:dyDescent="0.25">
      <c r="A73" s="178" t="s">
        <v>139</v>
      </c>
      <c r="B73" s="179" t="s">
        <v>140</v>
      </c>
      <c r="C73" s="168" t="s">
        <v>136</v>
      </c>
      <c r="D73" s="168">
        <v>130</v>
      </c>
      <c r="E73" s="185"/>
      <c r="F73" s="174">
        <f t="shared" si="5"/>
        <v>0</v>
      </c>
    </row>
    <row r="74" spans="1:14" ht="30" customHeight="1" x14ac:dyDescent="0.25">
      <c r="A74" s="178" t="s">
        <v>141</v>
      </c>
      <c r="B74" s="179" t="s">
        <v>142</v>
      </c>
      <c r="C74" s="168" t="s">
        <v>11</v>
      </c>
      <c r="D74" s="168">
        <v>1</v>
      </c>
      <c r="E74" s="185"/>
      <c r="F74" s="174">
        <f t="shared" si="5"/>
        <v>0</v>
      </c>
    </row>
    <row r="75" spans="1:14" ht="30" customHeight="1" x14ac:dyDescent="0.25">
      <c r="A75" s="178" t="s">
        <v>143</v>
      </c>
      <c r="B75" s="179" t="s">
        <v>144</v>
      </c>
      <c r="C75" s="168" t="s">
        <v>11</v>
      </c>
      <c r="D75" s="168">
        <v>1</v>
      </c>
      <c r="E75" s="185"/>
      <c r="F75" s="174">
        <f t="shared" si="5"/>
        <v>0</v>
      </c>
    </row>
    <row r="76" spans="1:14" ht="30" customHeight="1" x14ac:dyDescent="0.25">
      <c r="A76" s="189" t="s">
        <v>145</v>
      </c>
      <c r="B76" s="190" t="s">
        <v>146</v>
      </c>
      <c r="C76" s="193"/>
      <c r="D76" s="194"/>
      <c r="E76" s="250"/>
      <c r="F76" s="174">
        <f t="shared" si="5"/>
        <v>0</v>
      </c>
    </row>
    <row r="77" spans="1:14" ht="30" customHeight="1" x14ac:dyDescent="0.25">
      <c r="A77" s="192"/>
      <c r="B77" s="179" t="s">
        <v>147</v>
      </c>
      <c r="C77" s="193"/>
      <c r="D77" s="194"/>
      <c r="E77" s="250"/>
      <c r="F77" s="174">
        <f t="shared" si="5"/>
        <v>0</v>
      </c>
    </row>
    <row r="78" spans="1:14" ht="30" customHeight="1" x14ac:dyDescent="0.25">
      <c r="A78" s="178" t="s">
        <v>148</v>
      </c>
      <c r="B78" s="179" t="s">
        <v>149</v>
      </c>
      <c r="C78" s="168" t="s">
        <v>136</v>
      </c>
      <c r="D78" s="168">
        <v>10</v>
      </c>
      <c r="E78" s="185"/>
      <c r="F78" s="174">
        <f t="shared" si="5"/>
        <v>0</v>
      </c>
    </row>
    <row r="79" spans="1:14" ht="30" customHeight="1" x14ac:dyDescent="0.25">
      <c r="A79" s="178" t="s">
        <v>150</v>
      </c>
      <c r="B79" s="179" t="s">
        <v>151</v>
      </c>
      <c r="C79" s="168" t="s">
        <v>136</v>
      </c>
      <c r="D79" s="168">
        <v>30</v>
      </c>
      <c r="E79" s="185"/>
      <c r="F79" s="174">
        <f t="shared" si="5"/>
        <v>0</v>
      </c>
    </row>
    <row r="80" spans="1:14" ht="30" customHeight="1" x14ac:dyDescent="0.25">
      <c r="A80" s="178" t="s">
        <v>152</v>
      </c>
      <c r="B80" s="179" t="s">
        <v>140</v>
      </c>
      <c r="C80" s="168" t="s">
        <v>136</v>
      </c>
      <c r="D80" s="168">
        <f>D79+D78</f>
        <v>40</v>
      </c>
      <c r="E80" s="185"/>
      <c r="F80" s="174">
        <f t="shared" si="5"/>
        <v>0</v>
      </c>
    </row>
    <row r="81" spans="1:6" ht="30" customHeight="1" x14ac:dyDescent="0.25">
      <c r="A81" s="178" t="s">
        <v>153</v>
      </c>
      <c r="B81" s="179" t="s">
        <v>154</v>
      </c>
      <c r="C81" s="168" t="s">
        <v>85</v>
      </c>
      <c r="D81" s="168">
        <v>2</v>
      </c>
      <c r="E81" s="185"/>
      <c r="F81" s="174">
        <f t="shared" si="5"/>
        <v>0</v>
      </c>
    </row>
    <row r="82" spans="1:6" ht="30" customHeight="1" x14ac:dyDescent="0.25">
      <c r="A82" s="178" t="s">
        <v>155</v>
      </c>
      <c r="B82" s="179" t="s">
        <v>156</v>
      </c>
      <c r="C82" s="168" t="s">
        <v>85</v>
      </c>
      <c r="D82" s="168">
        <v>2</v>
      </c>
      <c r="E82" s="185"/>
      <c r="F82" s="174">
        <f t="shared" si="5"/>
        <v>0</v>
      </c>
    </row>
    <row r="83" spans="1:6" ht="30" customHeight="1" x14ac:dyDescent="0.25">
      <c r="A83" s="178" t="s">
        <v>157</v>
      </c>
      <c r="B83" s="179" t="s">
        <v>158</v>
      </c>
      <c r="C83" s="168" t="s">
        <v>85</v>
      </c>
      <c r="D83" s="168">
        <v>1</v>
      </c>
      <c r="E83" s="185"/>
      <c r="F83" s="174">
        <f t="shared" si="5"/>
        <v>0</v>
      </c>
    </row>
    <row r="84" spans="1:6" ht="30" customHeight="1" x14ac:dyDescent="0.25">
      <c r="A84" s="178" t="s">
        <v>159</v>
      </c>
      <c r="B84" s="179" t="s">
        <v>160</v>
      </c>
      <c r="C84" s="168" t="s">
        <v>85</v>
      </c>
      <c r="D84" s="168">
        <v>2</v>
      </c>
      <c r="E84" s="185"/>
      <c r="F84" s="174">
        <f t="shared" si="5"/>
        <v>0</v>
      </c>
    </row>
    <row r="85" spans="1:6" ht="30" customHeight="1" x14ac:dyDescent="0.25">
      <c r="A85" s="189" t="s">
        <v>161</v>
      </c>
      <c r="B85" s="190" t="s">
        <v>162</v>
      </c>
      <c r="C85" s="191"/>
      <c r="D85" s="177"/>
      <c r="E85" s="249"/>
      <c r="F85" s="174">
        <f t="shared" si="5"/>
        <v>0</v>
      </c>
    </row>
    <row r="86" spans="1:6" ht="30" customHeight="1" x14ac:dyDescent="0.25">
      <c r="A86" s="189" t="s">
        <v>163</v>
      </c>
      <c r="B86" s="190" t="s">
        <v>132</v>
      </c>
      <c r="C86" s="191"/>
      <c r="D86" s="177"/>
      <c r="E86" s="249"/>
      <c r="F86" s="174">
        <f t="shared" si="5"/>
        <v>0</v>
      </c>
    </row>
    <row r="87" spans="1:6" ht="30" customHeight="1" x14ac:dyDescent="0.25">
      <c r="A87" s="178" t="s">
        <v>164</v>
      </c>
      <c r="B87" s="179" t="s">
        <v>165</v>
      </c>
      <c r="C87" s="168"/>
      <c r="D87" s="168"/>
      <c r="E87" s="185"/>
      <c r="F87" s="174">
        <f t="shared" si="5"/>
        <v>0</v>
      </c>
    </row>
    <row r="88" spans="1:6" ht="30" customHeight="1" x14ac:dyDescent="0.25">
      <c r="A88" s="178" t="s">
        <v>164</v>
      </c>
      <c r="B88" s="179" t="s">
        <v>135</v>
      </c>
      <c r="C88" s="168" t="s">
        <v>136</v>
      </c>
      <c r="D88" s="168">
        <v>10</v>
      </c>
      <c r="E88" s="185"/>
      <c r="F88" s="174">
        <f t="shared" si="5"/>
        <v>0</v>
      </c>
    </row>
    <row r="89" spans="1:6" ht="30" customHeight="1" x14ac:dyDescent="0.25">
      <c r="A89" s="178" t="s">
        <v>166</v>
      </c>
      <c r="B89" s="179" t="s">
        <v>138</v>
      </c>
      <c r="C89" s="168" t="s">
        <v>136</v>
      </c>
      <c r="D89" s="168">
        <v>20</v>
      </c>
      <c r="E89" s="185"/>
      <c r="F89" s="174">
        <f t="shared" si="5"/>
        <v>0</v>
      </c>
    </row>
    <row r="90" spans="1:6" ht="30" customHeight="1" x14ac:dyDescent="0.25">
      <c r="A90" s="178" t="s">
        <v>167</v>
      </c>
      <c r="B90" s="179" t="s">
        <v>168</v>
      </c>
      <c r="C90" s="168" t="s">
        <v>136</v>
      </c>
      <c r="D90" s="168">
        <v>2</v>
      </c>
      <c r="E90" s="185"/>
      <c r="F90" s="174">
        <f t="shared" si="5"/>
        <v>0</v>
      </c>
    </row>
    <row r="91" spans="1:6" ht="30" customHeight="1" x14ac:dyDescent="0.25">
      <c r="A91" s="189" t="s">
        <v>169</v>
      </c>
      <c r="B91" s="190" t="s">
        <v>170</v>
      </c>
      <c r="C91" s="193"/>
      <c r="D91" s="194"/>
      <c r="E91" s="250"/>
      <c r="F91" s="174">
        <f t="shared" si="5"/>
        <v>0</v>
      </c>
    </row>
    <row r="92" spans="1:6" ht="30" customHeight="1" x14ac:dyDescent="0.25">
      <c r="A92" s="189" t="s">
        <v>171</v>
      </c>
      <c r="B92" s="190" t="s">
        <v>172</v>
      </c>
      <c r="C92" s="193"/>
      <c r="D92" s="194"/>
      <c r="E92" s="250"/>
      <c r="F92" s="174">
        <f t="shared" si="5"/>
        <v>0</v>
      </c>
    </row>
    <row r="93" spans="1:6" ht="30" customHeight="1" x14ac:dyDescent="0.25">
      <c r="A93" s="178" t="s">
        <v>173</v>
      </c>
      <c r="B93" s="179" t="s">
        <v>174</v>
      </c>
      <c r="C93" s="168" t="s">
        <v>85</v>
      </c>
      <c r="D93" s="168">
        <v>1</v>
      </c>
      <c r="E93" s="185"/>
      <c r="F93" s="174">
        <f t="shared" si="5"/>
        <v>0</v>
      </c>
    </row>
    <row r="94" spans="1:6" ht="30" customHeight="1" x14ac:dyDescent="0.25">
      <c r="A94" s="178" t="s">
        <v>175</v>
      </c>
      <c r="B94" s="179" t="s">
        <v>176</v>
      </c>
      <c r="C94" s="168" t="s">
        <v>85</v>
      </c>
      <c r="D94" s="168">
        <v>1</v>
      </c>
      <c r="E94" s="185"/>
      <c r="F94" s="174">
        <f t="shared" si="5"/>
        <v>0</v>
      </c>
    </row>
    <row r="95" spans="1:6" ht="30" customHeight="1" x14ac:dyDescent="0.25">
      <c r="A95" s="178" t="s">
        <v>177</v>
      </c>
      <c r="B95" s="179" t="s">
        <v>178</v>
      </c>
      <c r="C95" s="168" t="s">
        <v>85</v>
      </c>
      <c r="D95" s="168">
        <v>1</v>
      </c>
      <c r="E95" s="185"/>
      <c r="F95" s="174">
        <f t="shared" si="5"/>
        <v>0</v>
      </c>
    </row>
    <row r="96" spans="1:6" ht="30" customHeight="1" x14ac:dyDescent="0.25">
      <c r="A96" s="178" t="s">
        <v>179</v>
      </c>
      <c r="B96" s="179" t="s">
        <v>180</v>
      </c>
      <c r="C96" s="168" t="s">
        <v>85</v>
      </c>
      <c r="D96" s="168">
        <v>1</v>
      </c>
      <c r="E96" s="185"/>
      <c r="F96" s="174">
        <f t="shared" si="5"/>
        <v>0</v>
      </c>
    </row>
    <row r="97" spans="1:6" ht="30" customHeight="1" x14ac:dyDescent="0.25">
      <c r="A97" s="189" t="s">
        <v>181</v>
      </c>
      <c r="B97" s="190" t="s">
        <v>182</v>
      </c>
      <c r="C97" s="168"/>
      <c r="D97" s="168"/>
      <c r="E97" s="185"/>
      <c r="F97" s="174">
        <f t="shared" si="5"/>
        <v>0</v>
      </c>
    </row>
    <row r="98" spans="1:6" ht="30" customHeight="1" x14ac:dyDescent="0.25">
      <c r="A98" s="178" t="s">
        <v>183</v>
      </c>
      <c r="B98" s="179" t="s">
        <v>184</v>
      </c>
      <c r="C98" s="168" t="s">
        <v>85</v>
      </c>
      <c r="D98" s="168">
        <f>+D93</f>
        <v>1</v>
      </c>
      <c r="E98" s="185"/>
      <c r="F98" s="174">
        <f t="shared" si="5"/>
        <v>0</v>
      </c>
    </row>
    <row r="99" spans="1:6" ht="30" customHeight="1" x14ac:dyDescent="0.25">
      <c r="A99" s="178" t="s">
        <v>185</v>
      </c>
      <c r="B99" s="179" t="s">
        <v>186</v>
      </c>
      <c r="C99" s="168" t="s">
        <v>85</v>
      </c>
      <c r="D99" s="168">
        <f>+D94</f>
        <v>1</v>
      </c>
      <c r="E99" s="185"/>
      <c r="F99" s="174">
        <f t="shared" si="5"/>
        <v>0</v>
      </c>
    </row>
    <row r="100" spans="1:6" ht="30" customHeight="1" x14ac:dyDescent="0.25">
      <c r="A100" s="178" t="s">
        <v>187</v>
      </c>
      <c r="B100" s="179" t="s">
        <v>188</v>
      </c>
      <c r="C100" s="168" t="s">
        <v>85</v>
      </c>
      <c r="D100" s="168">
        <f>+D94</f>
        <v>1</v>
      </c>
      <c r="E100" s="185"/>
      <c r="F100" s="174">
        <f t="shared" si="5"/>
        <v>0</v>
      </c>
    </row>
    <row r="101" spans="1:6" ht="30" customHeight="1" x14ac:dyDescent="0.25">
      <c r="A101" s="178" t="s">
        <v>189</v>
      </c>
      <c r="B101" s="179" t="s">
        <v>190</v>
      </c>
      <c r="C101" s="168" t="s">
        <v>85</v>
      </c>
      <c r="D101" s="168">
        <f>+D93</f>
        <v>1</v>
      </c>
      <c r="E101" s="185"/>
      <c r="F101" s="174">
        <f t="shared" si="5"/>
        <v>0</v>
      </c>
    </row>
    <row r="102" spans="1:6" ht="30" customHeight="1" x14ac:dyDescent="0.25">
      <c r="A102" s="178" t="s">
        <v>191</v>
      </c>
      <c r="B102" s="179" t="s">
        <v>192</v>
      </c>
      <c r="C102" s="168" t="s">
        <v>85</v>
      </c>
      <c r="D102" s="168">
        <f>+D98</f>
        <v>1</v>
      </c>
      <c r="E102" s="185"/>
      <c r="F102" s="174">
        <f t="shared" si="5"/>
        <v>0</v>
      </c>
    </row>
    <row r="103" spans="1:6" ht="30" customHeight="1" x14ac:dyDescent="0.25">
      <c r="A103" s="178" t="s">
        <v>193</v>
      </c>
      <c r="B103" s="179" t="s">
        <v>194</v>
      </c>
      <c r="C103" s="168" t="s">
        <v>85</v>
      </c>
      <c r="D103" s="168">
        <f>+D98</f>
        <v>1</v>
      </c>
      <c r="E103" s="185"/>
      <c r="F103" s="174">
        <f t="shared" si="5"/>
        <v>0</v>
      </c>
    </row>
    <row r="104" spans="1:6" ht="30" customHeight="1" x14ac:dyDescent="0.25">
      <c r="A104" s="178" t="s">
        <v>195</v>
      </c>
      <c r="B104" s="179" t="s">
        <v>196</v>
      </c>
      <c r="C104" s="168" t="s">
        <v>85</v>
      </c>
      <c r="D104" s="168">
        <v>2</v>
      </c>
      <c r="E104" s="185"/>
      <c r="F104" s="174">
        <f t="shared" si="5"/>
        <v>0</v>
      </c>
    </row>
    <row r="105" spans="1:6" ht="30" customHeight="1" x14ac:dyDescent="0.25">
      <c r="A105" s="189" t="s">
        <v>197</v>
      </c>
      <c r="B105" s="190" t="s">
        <v>146</v>
      </c>
      <c r="C105" s="193"/>
      <c r="D105" s="194"/>
      <c r="E105" s="250"/>
      <c r="F105" s="174">
        <f t="shared" si="5"/>
        <v>0</v>
      </c>
    </row>
    <row r="106" spans="1:6" ht="30" customHeight="1" x14ac:dyDescent="0.25">
      <c r="A106" s="189" t="s">
        <v>198</v>
      </c>
      <c r="B106" s="190" t="s">
        <v>199</v>
      </c>
      <c r="C106" s="193"/>
      <c r="D106" s="194"/>
      <c r="E106" s="250"/>
      <c r="F106" s="174">
        <f t="shared" si="5"/>
        <v>0</v>
      </c>
    </row>
    <row r="107" spans="1:6" ht="30" customHeight="1" x14ac:dyDescent="0.25">
      <c r="A107" s="178" t="s">
        <v>200</v>
      </c>
      <c r="B107" s="179" t="s">
        <v>149</v>
      </c>
      <c r="C107" s="168" t="s">
        <v>136</v>
      </c>
      <c r="D107" s="168">
        <v>5</v>
      </c>
      <c r="E107" s="185"/>
      <c r="F107" s="174">
        <f t="shared" si="5"/>
        <v>0</v>
      </c>
    </row>
    <row r="108" spans="1:6" ht="30" customHeight="1" x14ac:dyDescent="0.25">
      <c r="A108" s="178" t="s">
        <v>201</v>
      </c>
      <c r="B108" s="179" t="s">
        <v>202</v>
      </c>
      <c r="C108" s="168" t="s">
        <v>136</v>
      </c>
      <c r="D108" s="168">
        <v>20</v>
      </c>
      <c r="E108" s="185"/>
      <c r="F108" s="174">
        <f t="shared" si="5"/>
        <v>0</v>
      </c>
    </row>
    <row r="109" spans="1:6" ht="30" customHeight="1" x14ac:dyDescent="0.25">
      <c r="A109" s="178" t="s">
        <v>203</v>
      </c>
      <c r="B109" s="179" t="s">
        <v>204</v>
      </c>
      <c r="C109" s="168" t="s">
        <v>136</v>
      </c>
      <c r="D109" s="168">
        <v>6</v>
      </c>
      <c r="E109" s="185"/>
      <c r="F109" s="174">
        <f t="shared" si="5"/>
        <v>0</v>
      </c>
    </row>
    <row r="110" spans="1:6" ht="30" customHeight="1" x14ac:dyDescent="0.25">
      <c r="A110" s="178" t="s">
        <v>205</v>
      </c>
      <c r="B110" s="179" t="s">
        <v>206</v>
      </c>
      <c r="C110" s="193"/>
      <c r="D110" s="194"/>
      <c r="E110" s="250"/>
      <c r="F110" s="174">
        <f t="shared" si="5"/>
        <v>0</v>
      </c>
    </row>
    <row r="111" spans="1:6" ht="30" customHeight="1" x14ac:dyDescent="0.25">
      <c r="A111" s="178" t="s">
        <v>207</v>
      </c>
      <c r="B111" s="179" t="s">
        <v>208</v>
      </c>
      <c r="C111" s="168" t="s">
        <v>136</v>
      </c>
      <c r="D111" s="168">
        <f>3.8*3</f>
        <v>11.399999999999999</v>
      </c>
      <c r="E111" s="185"/>
      <c r="F111" s="174">
        <f t="shared" si="5"/>
        <v>0</v>
      </c>
    </row>
    <row r="112" spans="1:6" ht="30" customHeight="1" x14ac:dyDescent="0.25">
      <c r="A112" s="163"/>
      <c r="B112" s="164" t="s">
        <v>209</v>
      </c>
      <c r="C112" s="183"/>
      <c r="D112" s="184"/>
      <c r="E112" s="241"/>
      <c r="F112" s="242">
        <f>SUM(F71:F111)</f>
        <v>0</v>
      </c>
    </row>
    <row r="113" spans="1:11" ht="30" customHeight="1" x14ac:dyDescent="0.25">
      <c r="A113" s="154">
        <v>9</v>
      </c>
      <c r="B113" s="159" t="s">
        <v>210</v>
      </c>
      <c r="C113" s="168" t="s">
        <v>14</v>
      </c>
      <c r="D113" s="168"/>
      <c r="E113" s="185"/>
      <c r="F113" s="185"/>
    </row>
    <row r="114" spans="1:11" s="3" customFormat="1" ht="30" customHeight="1" x14ac:dyDescent="0.25">
      <c r="A114" s="174" t="s">
        <v>211</v>
      </c>
      <c r="B114" s="170" t="s">
        <v>212</v>
      </c>
      <c r="C114" s="168" t="s">
        <v>17</v>
      </c>
      <c r="D114" s="168">
        <f>D44</f>
        <v>130</v>
      </c>
      <c r="E114" s="185"/>
      <c r="F114" s="174">
        <f>D114*E114</f>
        <v>0</v>
      </c>
      <c r="G114" s="139"/>
    </row>
    <row r="115" spans="1:11" s="3" customFormat="1" ht="30" customHeight="1" x14ac:dyDescent="0.25">
      <c r="A115" s="174" t="s">
        <v>213</v>
      </c>
      <c r="B115" s="170" t="s">
        <v>214</v>
      </c>
      <c r="C115" s="168" t="s">
        <v>94</v>
      </c>
      <c r="D115" s="168">
        <v>1</v>
      </c>
      <c r="E115" s="185"/>
      <c r="F115" s="174">
        <f t="shared" ref="F115:F119" si="6">D115*E115</f>
        <v>0</v>
      </c>
      <c r="G115" s="139"/>
    </row>
    <row r="116" spans="1:11" s="3" customFormat="1" ht="30" customHeight="1" x14ac:dyDescent="0.25">
      <c r="A116" s="174" t="s">
        <v>215</v>
      </c>
      <c r="B116" s="195" t="s">
        <v>216</v>
      </c>
      <c r="C116" s="196" t="s">
        <v>17</v>
      </c>
      <c r="D116" s="168">
        <f>(D41*2)+D45</f>
        <v>500</v>
      </c>
      <c r="E116" s="185"/>
      <c r="F116" s="174">
        <f t="shared" si="6"/>
        <v>0</v>
      </c>
      <c r="G116" s="139"/>
    </row>
    <row r="117" spans="1:11" s="3" customFormat="1" ht="30" customHeight="1" x14ac:dyDescent="0.25">
      <c r="A117" s="174" t="s">
        <v>217</v>
      </c>
      <c r="B117" s="170" t="s">
        <v>218</v>
      </c>
      <c r="C117" s="168" t="s">
        <v>17</v>
      </c>
      <c r="D117" s="168">
        <f>D43*2</f>
        <v>480</v>
      </c>
      <c r="E117" s="185"/>
      <c r="F117" s="174">
        <f t="shared" si="6"/>
        <v>0</v>
      </c>
      <c r="G117" s="139"/>
    </row>
    <row r="118" spans="1:11" s="3" customFormat="1" ht="30" customHeight="1" x14ac:dyDescent="0.25">
      <c r="A118" s="174" t="s">
        <v>219</v>
      </c>
      <c r="B118" s="170" t="s">
        <v>220</v>
      </c>
      <c r="C118" s="168" t="s">
        <v>17</v>
      </c>
      <c r="D118" s="168">
        <f>D119</f>
        <v>171</v>
      </c>
      <c r="E118" s="185"/>
      <c r="F118" s="174">
        <f t="shared" si="6"/>
        <v>0</v>
      </c>
      <c r="G118" s="139"/>
    </row>
    <row r="119" spans="1:11" s="3" customFormat="1" ht="30" customHeight="1" x14ac:dyDescent="0.25">
      <c r="A119" s="174" t="s">
        <v>221</v>
      </c>
      <c r="B119" s="170" t="s">
        <v>222</v>
      </c>
      <c r="C119" s="168" t="s">
        <v>17</v>
      </c>
      <c r="D119" s="168">
        <v>171</v>
      </c>
      <c r="E119" s="185"/>
      <c r="F119" s="174">
        <f t="shared" si="6"/>
        <v>0</v>
      </c>
      <c r="G119" s="139"/>
    </row>
    <row r="120" spans="1:11" s="4" customFormat="1" ht="30" customHeight="1" x14ac:dyDescent="0.25">
      <c r="A120" s="163"/>
      <c r="B120" s="164" t="s">
        <v>223</v>
      </c>
      <c r="C120" s="183"/>
      <c r="D120" s="184"/>
      <c r="E120" s="241"/>
      <c r="F120" s="242">
        <f>SUM(F114:F119)</f>
        <v>0</v>
      </c>
      <c r="G120" s="141"/>
      <c r="H120" s="3"/>
      <c r="I120" s="8"/>
      <c r="J120" s="1"/>
      <c r="K120" s="1"/>
    </row>
    <row r="121" spans="1:11" s="1" customFormat="1" ht="41.4" x14ac:dyDescent="0.25">
      <c r="A121" s="154">
        <v>10</v>
      </c>
      <c r="B121" s="159" t="s">
        <v>224</v>
      </c>
      <c r="C121" s="168"/>
      <c r="D121" s="168"/>
      <c r="E121" s="185"/>
      <c r="F121" s="185"/>
      <c r="G121" s="141"/>
      <c r="H121" s="3"/>
      <c r="I121" s="3"/>
    </row>
    <row r="122" spans="1:11" s="1" customFormat="1" ht="30" customHeight="1" x14ac:dyDescent="0.25">
      <c r="A122" s="154" t="s">
        <v>225</v>
      </c>
      <c r="B122" s="159" t="s">
        <v>226</v>
      </c>
      <c r="C122" s="168" t="s">
        <v>14</v>
      </c>
      <c r="D122" s="168"/>
      <c r="E122" s="185"/>
      <c r="F122" s="185"/>
      <c r="G122" s="141"/>
      <c r="H122" s="3"/>
      <c r="I122" s="3"/>
    </row>
    <row r="123" spans="1:11" s="1" customFormat="1" ht="30" customHeight="1" x14ac:dyDescent="0.25">
      <c r="A123" s="154" t="s">
        <v>227</v>
      </c>
      <c r="B123" s="159" t="s">
        <v>228</v>
      </c>
      <c r="C123" s="196"/>
      <c r="D123" s="197"/>
      <c r="E123" s="198"/>
      <c r="F123" s="199"/>
      <c r="G123" s="141"/>
      <c r="H123" s="3"/>
      <c r="I123" s="3"/>
    </row>
    <row r="124" spans="1:11" s="1" customFormat="1" ht="55.2" x14ac:dyDescent="0.25">
      <c r="A124" s="174" t="s">
        <v>229</v>
      </c>
      <c r="B124" s="170" t="s">
        <v>230</v>
      </c>
      <c r="C124" s="168" t="s">
        <v>231</v>
      </c>
      <c r="D124" s="168">
        <v>1</v>
      </c>
      <c r="E124" s="185"/>
      <c r="F124" s="174">
        <f>D124*E124</f>
        <v>0</v>
      </c>
      <c r="G124" s="141"/>
      <c r="H124" s="3"/>
      <c r="I124" s="3"/>
    </row>
    <row r="125" spans="1:11" s="1" customFormat="1" ht="82.8" x14ac:dyDescent="0.25">
      <c r="A125" s="174" t="s">
        <v>232</v>
      </c>
      <c r="B125" s="170" t="s">
        <v>233</v>
      </c>
      <c r="C125" s="168" t="s">
        <v>231</v>
      </c>
      <c r="D125" s="168">
        <v>1</v>
      </c>
      <c r="E125" s="185"/>
      <c r="F125" s="174">
        <f t="shared" ref="F125:F163" si="7">D125*E125</f>
        <v>0</v>
      </c>
      <c r="G125" s="141"/>
      <c r="H125" s="3"/>
      <c r="I125" s="3"/>
    </row>
    <row r="126" spans="1:11" s="1" customFormat="1" ht="30" customHeight="1" x14ac:dyDescent="0.25">
      <c r="A126" s="174" t="s">
        <v>234</v>
      </c>
      <c r="B126" s="170" t="s">
        <v>235</v>
      </c>
      <c r="C126" s="168" t="s">
        <v>231</v>
      </c>
      <c r="D126" s="168">
        <v>1</v>
      </c>
      <c r="E126" s="185"/>
      <c r="F126" s="174">
        <f t="shared" si="7"/>
        <v>0</v>
      </c>
      <c r="G126" s="141"/>
      <c r="H126" s="3"/>
      <c r="I126" s="3"/>
    </row>
    <row r="127" spans="1:11" s="1" customFormat="1" ht="30" customHeight="1" x14ac:dyDescent="0.25">
      <c r="A127" s="154" t="s">
        <v>236</v>
      </c>
      <c r="B127" s="159" t="s">
        <v>237</v>
      </c>
      <c r="C127" s="196"/>
      <c r="D127" s="197"/>
      <c r="E127" s="198"/>
      <c r="F127" s="174">
        <f t="shared" si="7"/>
        <v>0</v>
      </c>
      <c r="G127" s="141"/>
      <c r="H127" s="3"/>
      <c r="I127" s="3"/>
    </row>
    <row r="128" spans="1:11" s="1" customFormat="1" ht="30" customHeight="1" x14ac:dyDescent="0.25">
      <c r="A128" s="174" t="s">
        <v>238</v>
      </c>
      <c r="B128" s="170" t="s">
        <v>239</v>
      </c>
      <c r="C128" s="168" t="s">
        <v>85</v>
      </c>
      <c r="D128" s="168">
        <v>5</v>
      </c>
      <c r="E128" s="185"/>
      <c r="F128" s="174">
        <f t="shared" si="7"/>
        <v>0</v>
      </c>
      <c r="G128" s="141"/>
      <c r="H128" s="3"/>
      <c r="I128" s="3"/>
    </row>
    <row r="129" spans="1:9" s="1" customFormat="1" ht="30" customHeight="1" x14ac:dyDescent="0.25">
      <c r="A129" s="174" t="s">
        <v>240</v>
      </c>
      <c r="B129" s="170" t="s">
        <v>241</v>
      </c>
      <c r="C129" s="168" t="s">
        <v>85</v>
      </c>
      <c r="D129" s="168">
        <v>1</v>
      </c>
      <c r="E129" s="185"/>
      <c r="F129" s="174">
        <f t="shared" si="7"/>
        <v>0</v>
      </c>
      <c r="G129" s="141"/>
      <c r="H129" s="3"/>
      <c r="I129" s="3"/>
    </row>
    <row r="130" spans="1:9" s="1" customFormat="1" ht="30" customHeight="1" x14ac:dyDescent="0.25">
      <c r="A130" s="174" t="s">
        <v>242</v>
      </c>
      <c r="B130" s="170" t="s">
        <v>243</v>
      </c>
      <c r="C130" s="168" t="s">
        <v>85</v>
      </c>
      <c r="D130" s="168">
        <v>1</v>
      </c>
      <c r="E130" s="185"/>
      <c r="F130" s="174">
        <f t="shared" si="7"/>
        <v>0</v>
      </c>
      <c r="G130" s="141"/>
      <c r="H130" s="3"/>
      <c r="I130" s="3"/>
    </row>
    <row r="131" spans="1:9" s="1" customFormat="1" ht="30" customHeight="1" x14ac:dyDescent="0.25">
      <c r="A131" s="174" t="s">
        <v>244</v>
      </c>
      <c r="B131" s="170" t="s">
        <v>245</v>
      </c>
      <c r="C131" s="168" t="s">
        <v>85</v>
      </c>
      <c r="D131" s="168">
        <v>6</v>
      </c>
      <c r="E131" s="185"/>
      <c r="F131" s="174">
        <f t="shared" si="7"/>
        <v>0</v>
      </c>
      <c r="G131" s="141"/>
      <c r="H131" s="3"/>
      <c r="I131" s="3"/>
    </row>
    <row r="132" spans="1:9" s="1" customFormat="1" ht="30" customHeight="1" x14ac:dyDescent="0.25">
      <c r="A132" s="174" t="s">
        <v>246</v>
      </c>
      <c r="B132" s="170" t="s">
        <v>247</v>
      </c>
      <c r="C132" s="168" t="s">
        <v>85</v>
      </c>
      <c r="D132" s="168">
        <v>34</v>
      </c>
      <c r="E132" s="185"/>
      <c r="F132" s="174">
        <f t="shared" si="7"/>
        <v>0</v>
      </c>
      <c r="G132" s="141"/>
      <c r="H132" s="3"/>
      <c r="I132" s="3"/>
    </row>
    <row r="133" spans="1:9" s="1" customFormat="1" ht="30" customHeight="1" x14ac:dyDescent="0.25">
      <c r="A133" s="174" t="s">
        <v>248</v>
      </c>
      <c r="B133" s="170" t="s">
        <v>249</v>
      </c>
      <c r="C133" s="168" t="s">
        <v>85</v>
      </c>
      <c r="D133" s="168">
        <v>7</v>
      </c>
      <c r="E133" s="185"/>
      <c r="F133" s="174">
        <f t="shared" si="7"/>
        <v>0</v>
      </c>
      <c r="G133" s="141"/>
      <c r="H133" s="3"/>
      <c r="I133" s="3"/>
    </row>
    <row r="134" spans="1:9" s="1" customFormat="1" ht="41.4" x14ac:dyDescent="0.25">
      <c r="A134" s="154" t="s">
        <v>250</v>
      </c>
      <c r="B134" s="202" t="s">
        <v>251</v>
      </c>
      <c r="C134" s="200"/>
      <c r="D134" s="197"/>
      <c r="E134" s="201"/>
      <c r="F134" s="174">
        <f t="shared" si="7"/>
        <v>0</v>
      </c>
      <c r="G134" s="141"/>
      <c r="H134" s="3"/>
      <c r="I134" s="3"/>
    </row>
    <row r="135" spans="1:9" s="1" customFormat="1" ht="30" customHeight="1" x14ac:dyDescent="0.25">
      <c r="A135" s="174" t="s">
        <v>252</v>
      </c>
      <c r="B135" s="170" t="s">
        <v>253</v>
      </c>
      <c r="C135" s="168" t="s">
        <v>85</v>
      </c>
      <c r="D135" s="168">
        <v>2</v>
      </c>
      <c r="E135" s="185"/>
      <c r="F135" s="174">
        <f t="shared" si="7"/>
        <v>0</v>
      </c>
      <c r="G135" s="141"/>
      <c r="H135" s="3"/>
      <c r="I135" s="3"/>
    </row>
    <row r="136" spans="1:9" s="1" customFormat="1" ht="30" customHeight="1" x14ac:dyDescent="0.25">
      <c r="A136" s="174" t="s">
        <v>254</v>
      </c>
      <c r="B136" s="170" t="s">
        <v>255</v>
      </c>
      <c r="C136" s="168" t="s">
        <v>85</v>
      </c>
      <c r="D136" s="168">
        <v>8</v>
      </c>
      <c r="E136" s="185"/>
      <c r="F136" s="174">
        <f t="shared" si="7"/>
        <v>0</v>
      </c>
      <c r="G136" s="141"/>
      <c r="H136" s="3"/>
      <c r="I136" s="3"/>
    </row>
    <row r="137" spans="1:9" s="1" customFormat="1" ht="30" customHeight="1" x14ac:dyDescent="0.25">
      <c r="A137" s="174" t="s">
        <v>256</v>
      </c>
      <c r="B137" s="170" t="s">
        <v>257</v>
      </c>
      <c r="C137" s="168" t="s">
        <v>85</v>
      </c>
      <c r="D137" s="168">
        <v>2</v>
      </c>
      <c r="E137" s="185"/>
      <c r="F137" s="174">
        <f t="shared" si="7"/>
        <v>0</v>
      </c>
      <c r="G137" s="141"/>
      <c r="H137" s="3"/>
      <c r="I137" s="3"/>
    </row>
    <row r="138" spans="1:9" s="1" customFormat="1" ht="30" customHeight="1" x14ac:dyDescent="0.25">
      <c r="A138" s="174" t="s">
        <v>258</v>
      </c>
      <c r="B138" s="170" t="s">
        <v>259</v>
      </c>
      <c r="C138" s="168" t="s">
        <v>85</v>
      </c>
      <c r="D138" s="168">
        <v>1</v>
      </c>
      <c r="E138" s="185"/>
      <c r="F138" s="174">
        <f t="shared" si="7"/>
        <v>0</v>
      </c>
      <c r="G138" s="141"/>
      <c r="H138" s="3"/>
      <c r="I138" s="3"/>
    </row>
    <row r="139" spans="1:9" s="1" customFormat="1" ht="30" customHeight="1" x14ac:dyDescent="0.25">
      <c r="A139" s="174" t="s">
        <v>260</v>
      </c>
      <c r="B139" s="170" t="s">
        <v>261</v>
      </c>
      <c r="C139" s="168" t="s">
        <v>85</v>
      </c>
      <c r="D139" s="168">
        <v>1</v>
      </c>
      <c r="E139" s="185"/>
      <c r="F139" s="174">
        <f t="shared" si="7"/>
        <v>0</v>
      </c>
      <c r="G139" s="141"/>
      <c r="H139" s="3"/>
      <c r="I139" s="3"/>
    </row>
    <row r="140" spans="1:9" s="1" customFormat="1" ht="30" customHeight="1" x14ac:dyDescent="0.25">
      <c r="A140" s="174" t="s">
        <v>262</v>
      </c>
      <c r="B140" s="170" t="s">
        <v>263</v>
      </c>
      <c r="C140" s="168" t="s">
        <v>85</v>
      </c>
      <c r="D140" s="168">
        <v>11</v>
      </c>
      <c r="E140" s="185"/>
      <c r="F140" s="174">
        <f t="shared" si="7"/>
        <v>0</v>
      </c>
      <c r="G140" s="141"/>
      <c r="H140" s="3"/>
      <c r="I140" s="3"/>
    </row>
    <row r="141" spans="1:9" s="1" customFormat="1" ht="30" customHeight="1" x14ac:dyDescent="0.25">
      <c r="A141" s="174" t="s">
        <v>264</v>
      </c>
      <c r="B141" s="170" t="s">
        <v>265</v>
      </c>
      <c r="C141" s="168" t="s">
        <v>85</v>
      </c>
      <c r="D141" s="168">
        <v>4</v>
      </c>
      <c r="E141" s="185"/>
      <c r="F141" s="174">
        <f t="shared" si="7"/>
        <v>0</v>
      </c>
      <c r="G141" s="141"/>
      <c r="H141" s="3"/>
      <c r="I141" s="3"/>
    </row>
    <row r="142" spans="1:9" s="1" customFormat="1" ht="30" customHeight="1" x14ac:dyDescent="0.25">
      <c r="A142" s="154" t="s">
        <v>266</v>
      </c>
      <c r="B142" s="159" t="s">
        <v>267</v>
      </c>
      <c r="C142" s="168"/>
      <c r="D142" s="168"/>
      <c r="E142" s="185"/>
      <c r="F142" s="174">
        <f t="shared" si="7"/>
        <v>0</v>
      </c>
      <c r="G142" s="141"/>
      <c r="H142" s="3"/>
      <c r="I142" s="3"/>
    </row>
    <row r="143" spans="1:9" s="1" customFormat="1" ht="30" customHeight="1" x14ac:dyDescent="0.25">
      <c r="A143" s="174" t="s">
        <v>268</v>
      </c>
      <c r="B143" s="170" t="s">
        <v>269</v>
      </c>
      <c r="C143" s="168" t="s">
        <v>85</v>
      </c>
      <c r="D143" s="168">
        <v>2</v>
      </c>
      <c r="E143" s="185"/>
      <c r="F143" s="174">
        <f t="shared" si="7"/>
        <v>0</v>
      </c>
      <c r="G143" s="141"/>
      <c r="H143" s="3"/>
      <c r="I143" s="3"/>
    </row>
    <row r="144" spans="1:9" s="1" customFormat="1" ht="30" customHeight="1" x14ac:dyDescent="0.25">
      <c r="A144" s="174" t="s">
        <v>270</v>
      </c>
      <c r="B144" s="170" t="s">
        <v>271</v>
      </c>
      <c r="C144" s="168" t="s">
        <v>85</v>
      </c>
      <c r="D144" s="168">
        <v>2</v>
      </c>
      <c r="E144" s="185"/>
      <c r="F144" s="174">
        <f t="shared" si="7"/>
        <v>0</v>
      </c>
      <c r="G144" s="141"/>
      <c r="H144" s="3"/>
      <c r="I144" s="3"/>
    </row>
    <row r="145" spans="1:9" s="1" customFormat="1" ht="30" customHeight="1" x14ac:dyDescent="0.25">
      <c r="A145" s="174" t="s">
        <v>272</v>
      </c>
      <c r="B145" s="170" t="s">
        <v>273</v>
      </c>
      <c r="C145" s="168" t="s">
        <v>85</v>
      </c>
      <c r="D145" s="168">
        <v>5</v>
      </c>
      <c r="E145" s="185"/>
      <c r="F145" s="174">
        <f t="shared" si="7"/>
        <v>0</v>
      </c>
      <c r="G145" s="141"/>
      <c r="H145" s="3"/>
      <c r="I145" s="3"/>
    </row>
    <row r="146" spans="1:9" s="1" customFormat="1" ht="30" customHeight="1" x14ac:dyDescent="0.25">
      <c r="A146" s="154" t="s">
        <v>274</v>
      </c>
      <c r="B146" s="159" t="s">
        <v>275</v>
      </c>
      <c r="C146" s="188"/>
      <c r="D146" s="168"/>
      <c r="E146" s="243"/>
      <c r="F146" s="174">
        <f t="shared" si="7"/>
        <v>0</v>
      </c>
      <c r="G146" s="141"/>
      <c r="H146" s="3"/>
      <c r="I146" s="3"/>
    </row>
    <row r="147" spans="1:9" s="1" customFormat="1" ht="30" customHeight="1" x14ac:dyDescent="0.25">
      <c r="A147" s="174" t="s">
        <v>276</v>
      </c>
      <c r="B147" s="170" t="s">
        <v>277</v>
      </c>
      <c r="C147" s="168" t="s">
        <v>85</v>
      </c>
      <c r="D147" s="168">
        <v>6</v>
      </c>
      <c r="E147" s="185"/>
      <c r="F147" s="174">
        <f t="shared" si="7"/>
        <v>0</v>
      </c>
      <c r="G147" s="141"/>
      <c r="H147" s="3"/>
      <c r="I147" s="3"/>
    </row>
    <row r="148" spans="1:9" s="1" customFormat="1" ht="41.4" x14ac:dyDescent="0.25">
      <c r="A148" s="174" t="s">
        <v>278</v>
      </c>
      <c r="B148" s="170" t="s">
        <v>279</v>
      </c>
      <c r="C148" s="168" t="s">
        <v>85</v>
      </c>
      <c r="D148" s="168">
        <v>2</v>
      </c>
      <c r="E148" s="185"/>
      <c r="F148" s="174">
        <f t="shared" si="7"/>
        <v>0</v>
      </c>
      <c r="G148" s="141"/>
      <c r="H148" s="3"/>
      <c r="I148" s="3"/>
    </row>
    <row r="149" spans="1:9" s="1" customFormat="1" ht="30" customHeight="1" x14ac:dyDescent="0.25">
      <c r="A149" s="174" t="s">
        <v>280</v>
      </c>
      <c r="B149" s="170" t="s">
        <v>281</v>
      </c>
      <c r="C149" s="168" t="s">
        <v>85</v>
      </c>
      <c r="D149" s="168">
        <v>1</v>
      </c>
      <c r="E149" s="185"/>
      <c r="F149" s="174">
        <f t="shared" si="7"/>
        <v>0</v>
      </c>
      <c r="G149" s="141"/>
      <c r="H149" s="3"/>
      <c r="I149" s="3"/>
    </row>
    <row r="150" spans="1:9" s="1" customFormat="1" ht="30" customHeight="1" x14ac:dyDescent="0.25">
      <c r="A150" s="174" t="s">
        <v>282</v>
      </c>
      <c r="B150" s="170" t="s">
        <v>283</v>
      </c>
      <c r="C150" s="168" t="s">
        <v>85</v>
      </c>
      <c r="D150" s="168">
        <v>2</v>
      </c>
      <c r="E150" s="185"/>
      <c r="F150" s="174">
        <f t="shared" si="7"/>
        <v>0</v>
      </c>
      <c r="G150" s="141"/>
      <c r="H150" s="3"/>
      <c r="I150" s="3"/>
    </row>
    <row r="151" spans="1:9" s="1" customFormat="1" ht="30" customHeight="1" x14ac:dyDescent="0.25">
      <c r="A151" s="174" t="s">
        <v>284</v>
      </c>
      <c r="B151" s="170" t="s">
        <v>285</v>
      </c>
      <c r="C151" s="168" t="s">
        <v>85</v>
      </c>
      <c r="D151" s="168">
        <v>2</v>
      </c>
      <c r="E151" s="185"/>
      <c r="F151" s="174">
        <f t="shared" si="7"/>
        <v>0</v>
      </c>
      <c r="G151" s="141"/>
      <c r="H151" s="3"/>
      <c r="I151" s="3"/>
    </row>
    <row r="152" spans="1:9" s="1" customFormat="1" ht="30" customHeight="1" x14ac:dyDescent="0.25">
      <c r="A152" s="154" t="s">
        <v>286</v>
      </c>
      <c r="B152" s="159" t="s">
        <v>287</v>
      </c>
      <c r="C152" s="188"/>
      <c r="D152" s="168"/>
      <c r="E152" s="243"/>
      <c r="F152" s="174">
        <f t="shared" si="7"/>
        <v>0</v>
      </c>
      <c r="G152" s="141"/>
      <c r="H152" s="3"/>
      <c r="I152" s="3"/>
    </row>
    <row r="153" spans="1:9" s="1" customFormat="1" ht="30" customHeight="1" x14ac:dyDescent="0.25">
      <c r="A153" s="174" t="s">
        <v>288</v>
      </c>
      <c r="B153" s="170" t="s">
        <v>289</v>
      </c>
      <c r="C153" s="168" t="s">
        <v>231</v>
      </c>
      <c r="D153" s="168">
        <v>1</v>
      </c>
      <c r="E153" s="185"/>
      <c r="F153" s="174">
        <f t="shared" si="7"/>
        <v>0</v>
      </c>
      <c r="G153" s="141"/>
      <c r="H153" s="3"/>
      <c r="I153" s="3"/>
    </row>
    <row r="154" spans="1:9" s="1" customFormat="1" ht="41.4" x14ac:dyDescent="0.25">
      <c r="A154" s="174" t="s">
        <v>290</v>
      </c>
      <c r="B154" s="170" t="s">
        <v>291</v>
      </c>
      <c r="C154" s="168" t="s">
        <v>231</v>
      </c>
      <c r="D154" s="168">
        <v>1</v>
      </c>
      <c r="E154" s="185"/>
      <c r="F154" s="174">
        <f t="shared" si="7"/>
        <v>0</v>
      </c>
      <c r="G154" s="141"/>
      <c r="H154" s="3"/>
      <c r="I154" s="3"/>
    </row>
    <row r="155" spans="1:9" s="1" customFormat="1" ht="30" customHeight="1" x14ac:dyDescent="0.25">
      <c r="A155" s="174" t="s">
        <v>292</v>
      </c>
      <c r="B155" s="170" t="s">
        <v>293</v>
      </c>
      <c r="C155" s="168" t="s">
        <v>231</v>
      </c>
      <c r="D155" s="168">
        <v>1</v>
      </c>
      <c r="E155" s="185"/>
      <c r="F155" s="174">
        <f t="shared" si="7"/>
        <v>0</v>
      </c>
      <c r="G155" s="141"/>
      <c r="H155" s="3"/>
      <c r="I155" s="3"/>
    </row>
    <row r="156" spans="1:9" s="1" customFormat="1" ht="30" customHeight="1" x14ac:dyDescent="0.25">
      <c r="A156" s="154" t="s">
        <v>294</v>
      </c>
      <c r="B156" s="159" t="s">
        <v>295</v>
      </c>
      <c r="C156" s="188"/>
      <c r="D156" s="168"/>
      <c r="E156" s="243"/>
      <c r="F156" s="174">
        <f t="shared" si="7"/>
        <v>0</v>
      </c>
      <c r="G156" s="141"/>
      <c r="H156" s="3"/>
      <c r="I156" s="3"/>
    </row>
    <row r="157" spans="1:9" s="1" customFormat="1" ht="55.2" x14ac:dyDescent="0.25">
      <c r="A157" s="174" t="s">
        <v>296</v>
      </c>
      <c r="B157" s="203" t="s">
        <v>507</v>
      </c>
      <c r="C157" s="168" t="s">
        <v>231</v>
      </c>
      <c r="D157" s="168">
        <v>1</v>
      </c>
      <c r="E157" s="185"/>
      <c r="F157" s="174">
        <f t="shared" si="7"/>
        <v>0</v>
      </c>
      <c r="G157" s="141"/>
      <c r="H157" s="3"/>
      <c r="I157" s="3"/>
    </row>
    <row r="158" spans="1:9" s="1" customFormat="1" ht="55.2" x14ac:dyDescent="0.25">
      <c r="A158" s="174" t="s">
        <v>297</v>
      </c>
      <c r="B158" s="203" t="s">
        <v>298</v>
      </c>
      <c r="C158" s="168" t="s">
        <v>231</v>
      </c>
      <c r="D158" s="168">
        <v>1</v>
      </c>
      <c r="E158" s="185"/>
      <c r="F158" s="174">
        <f t="shared" si="7"/>
        <v>0</v>
      </c>
      <c r="G158" s="141"/>
      <c r="H158" s="3"/>
      <c r="I158" s="3"/>
    </row>
    <row r="159" spans="1:9" s="1" customFormat="1" ht="55.2" x14ac:dyDescent="0.25">
      <c r="A159" s="174" t="s">
        <v>299</v>
      </c>
      <c r="B159" s="203" t="s">
        <v>508</v>
      </c>
      <c r="C159" s="168" t="s">
        <v>231</v>
      </c>
      <c r="D159" s="168">
        <v>1</v>
      </c>
      <c r="E159" s="185"/>
      <c r="F159" s="174">
        <f t="shared" si="7"/>
        <v>0</v>
      </c>
      <c r="G159" s="141"/>
      <c r="H159" s="3"/>
      <c r="I159" s="3"/>
    </row>
    <row r="160" spans="1:9" s="1" customFormat="1" ht="55.2" x14ac:dyDescent="0.25">
      <c r="A160" s="174" t="s">
        <v>300</v>
      </c>
      <c r="B160" s="203" t="s">
        <v>301</v>
      </c>
      <c r="C160" s="168" t="s">
        <v>231</v>
      </c>
      <c r="D160" s="168">
        <v>1</v>
      </c>
      <c r="E160" s="185"/>
      <c r="F160" s="174">
        <f t="shared" si="7"/>
        <v>0</v>
      </c>
      <c r="G160" s="141"/>
      <c r="H160" s="3"/>
      <c r="I160" s="3"/>
    </row>
    <row r="161" spans="1:11" s="1" customFormat="1" ht="55.2" x14ac:dyDescent="0.25">
      <c r="A161" s="174" t="s">
        <v>302</v>
      </c>
      <c r="B161" s="203" t="s">
        <v>303</v>
      </c>
      <c r="C161" s="168" t="s">
        <v>231</v>
      </c>
      <c r="D161" s="168">
        <v>1</v>
      </c>
      <c r="E161" s="185"/>
      <c r="F161" s="174">
        <f t="shared" si="7"/>
        <v>0</v>
      </c>
      <c r="G161" s="141"/>
      <c r="H161" s="3"/>
      <c r="I161" s="3"/>
    </row>
    <row r="162" spans="1:11" s="1" customFormat="1" ht="41.4" x14ac:dyDescent="0.25">
      <c r="A162" s="174" t="s">
        <v>304</v>
      </c>
      <c r="B162" s="203" t="s">
        <v>305</v>
      </c>
      <c r="C162" s="168" t="s">
        <v>231</v>
      </c>
      <c r="D162" s="168">
        <v>1</v>
      </c>
      <c r="E162" s="185"/>
      <c r="F162" s="174">
        <f t="shared" si="7"/>
        <v>0</v>
      </c>
      <c r="G162" s="141"/>
      <c r="H162" s="3"/>
      <c r="I162" s="3"/>
    </row>
    <row r="163" spans="1:11" s="1" customFormat="1" ht="30" customHeight="1" x14ac:dyDescent="0.25">
      <c r="A163" s="174" t="s">
        <v>306</v>
      </c>
      <c r="B163" s="203" t="s">
        <v>307</v>
      </c>
      <c r="C163" s="168" t="s">
        <v>85</v>
      </c>
      <c r="D163" s="168">
        <v>1</v>
      </c>
      <c r="E163" s="185"/>
      <c r="F163" s="174">
        <f t="shared" si="7"/>
        <v>0</v>
      </c>
      <c r="G163" s="141"/>
      <c r="H163" s="3"/>
      <c r="I163" s="3"/>
    </row>
    <row r="164" spans="1:11" s="1" customFormat="1" ht="30" customHeight="1" x14ac:dyDescent="0.25">
      <c r="A164" s="158"/>
      <c r="B164" s="171" t="s">
        <v>308</v>
      </c>
      <c r="C164" s="172"/>
      <c r="D164" s="173"/>
      <c r="E164" s="236"/>
      <c r="F164" s="236">
        <f>SUM(F124:F163)</f>
        <v>0</v>
      </c>
      <c r="G164" s="141"/>
      <c r="H164" s="145"/>
      <c r="I164" s="145"/>
      <c r="K164" s="146"/>
    </row>
    <row r="165" spans="1:11" s="4" customFormat="1" ht="30" customHeight="1" x14ac:dyDescent="0.25">
      <c r="A165" s="154">
        <v>11</v>
      </c>
      <c r="B165" s="159" t="s">
        <v>309</v>
      </c>
      <c r="C165" s="168"/>
      <c r="D165" s="168"/>
      <c r="E165" s="185"/>
      <c r="F165" s="185"/>
      <c r="G165" s="141"/>
      <c r="H165" s="3"/>
      <c r="I165" s="8"/>
      <c r="J165" s="1"/>
      <c r="K165" s="1"/>
    </row>
    <row r="166" spans="1:11" s="4" customFormat="1" ht="41.4" x14ac:dyDescent="0.25">
      <c r="A166" s="174" t="s">
        <v>310</v>
      </c>
      <c r="B166" s="179" t="s">
        <v>311</v>
      </c>
      <c r="C166" s="168" t="s">
        <v>136</v>
      </c>
      <c r="D166" s="168">
        <f>29.55*11*1.1</f>
        <v>357.55500000000006</v>
      </c>
      <c r="E166" s="185"/>
      <c r="F166" s="185">
        <f>D166*E166</f>
        <v>0</v>
      </c>
      <c r="G166" s="141"/>
      <c r="H166" s="3"/>
      <c r="I166" s="8"/>
      <c r="J166" s="1"/>
      <c r="K166" s="1"/>
    </row>
    <row r="167" spans="1:11" s="4" customFormat="1" ht="30" customHeight="1" x14ac:dyDescent="0.25">
      <c r="A167" s="174" t="s">
        <v>312</v>
      </c>
      <c r="B167" s="179" t="s">
        <v>313</v>
      </c>
      <c r="C167" s="168" t="s">
        <v>136</v>
      </c>
      <c r="D167" s="168">
        <f>10.64*8*1.1</f>
        <v>93.632000000000019</v>
      </c>
      <c r="E167" s="185"/>
      <c r="F167" s="185">
        <f t="shared" ref="F167:F170" si="8">D167*E167</f>
        <v>0</v>
      </c>
      <c r="G167" s="141"/>
      <c r="H167" s="3"/>
      <c r="I167" s="8"/>
      <c r="J167" s="1"/>
      <c r="K167" s="1"/>
    </row>
    <row r="168" spans="1:11" s="4" customFormat="1" ht="43.8" x14ac:dyDescent="0.25">
      <c r="A168" s="174" t="s">
        <v>314</v>
      </c>
      <c r="B168" s="179" t="s">
        <v>315</v>
      </c>
      <c r="C168" s="168" t="s">
        <v>17</v>
      </c>
      <c r="D168" s="168">
        <f>10.35*29.55*1.1</f>
        <v>336.42674999999997</v>
      </c>
      <c r="E168" s="185"/>
      <c r="F168" s="185">
        <f t="shared" si="8"/>
        <v>0</v>
      </c>
      <c r="G168" s="141"/>
      <c r="H168" s="3"/>
      <c r="I168" s="8"/>
      <c r="J168" s="1"/>
      <c r="K168" s="1"/>
    </row>
    <row r="169" spans="1:11" s="4" customFormat="1" ht="30" customHeight="1" x14ac:dyDescent="0.25">
      <c r="A169" s="174" t="s">
        <v>316</v>
      </c>
      <c r="B169" s="179" t="s">
        <v>317</v>
      </c>
      <c r="C169" s="168" t="s">
        <v>136</v>
      </c>
      <c r="D169" s="168">
        <f>1.1*29.75</f>
        <v>32.725000000000001</v>
      </c>
      <c r="E169" s="185"/>
      <c r="F169" s="185">
        <f t="shared" si="8"/>
        <v>0</v>
      </c>
      <c r="G169" s="141"/>
      <c r="H169" s="3"/>
      <c r="I169" s="8"/>
      <c r="J169" s="1"/>
      <c r="K169" s="1"/>
    </row>
    <row r="170" spans="1:11" s="4" customFormat="1" ht="30" customHeight="1" x14ac:dyDescent="0.25">
      <c r="A170" s="174" t="s">
        <v>318</v>
      </c>
      <c r="B170" s="179" t="s">
        <v>319</v>
      </c>
      <c r="C170" s="168" t="s">
        <v>136</v>
      </c>
      <c r="D170" s="168">
        <f>1.1*29.75</f>
        <v>32.725000000000001</v>
      </c>
      <c r="E170" s="185"/>
      <c r="F170" s="185">
        <f t="shared" si="8"/>
        <v>0</v>
      </c>
      <c r="G170" s="141"/>
      <c r="H170" s="3"/>
      <c r="I170" s="8"/>
      <c r="J170" s="1"/>
      <c r="K170" s="1"/>
    </row>
    <row r="171" spans="1:11" s="4" customFormat="1" ht="30" customHeight="1" x14ac:dyDescent="0.25">
      <c r="A171" s="158"/>
      <c r="B171" s="171" t="s">
        <v>320</v>
      </c>
      <c r="C171" s="172"/>
      <c r="D171" s="173"/>
      <c r="E171" s="236"/>
      <c r="F171" s="236">
        <f>SUM(F166:F170)</f>
        <v>0</v>
      </c>
      <c r="G171" s="141"/>
      <c r="H171" s="3"/>
      <c r="I171" s="8"/>
      <c r="J171" s="1"/>
      <c r="K171" s="1"/>
    </row>
    <row r="172" spans="1:11" ht="30" customHeight="1" x14ac:dyDescent="0.25">
      <c r="A172" s="154">
        <v>12</v>
      </c>
      <c r="B172" s="159" t="s">
        <v>321</v>
      </c>
      <c r="C172" s="168"/>
      <c r="D172" s="168"/>
      <c r="E172" s="185"/>
      <c r="F172" s="185"/>
    </row>
    <row r="173" spans="1:11" ht="30" customHeight="1" x14ac:dyDescent="0.25">
      <c r="A173" s="174" t="s">
        <v>322</v>
      </c>
      <c r="B173" s="170" t="s">
        <v>323</v>
      </c>
      <c r="C173" s="168" t="s">
        <v>85</v>
      </c>
      <c r="D173" s="168">
        <v>15</v>
      </c>
      <c r="E173" s="185"/>
      <c r="F173" s="174">
        <f>D173*E173</f>
        <v>0</v>
      </c>
    </row>
    <row r="174" spans="1:11" ht="27.6" x14ac:dyDescent="0.25">
      <c r="A174" s="174" t="s">
        <v>324</v>
      </c>
      <c r="B174" s="170" t="s">
        <v>325</v>
      </c>
      <c r="C174" s="168" t="s">
        <v>85</v>
      </c>
      <c r="D174" s="168">
        <v>10</v>
      </c>
      <c r="E174" s="185"/>
      <c r="F174" s="174">
        <f t="shared" ref="F174:F175" si="9">D174*E174</f>
        <v>0</v>
      </c>
    </row>
    <row r="175" spans="1:11" ht="41.4" x14ac:dyDescent="0.25">
      <c r="A175" s="174" t="s">
        <v>326</v>
      </c>
      <c r="B175" s="170" t="s">
        <v>327</v>
      </c>
      <c r="C175" s="168" t="s">
        <v>17</v>
      </c>
      <c r="D175" s="168">
        <v>540</v>
      </c>
      <c r="E175" s="185"/>
      <c r="F175" s="174">
        <f t="shared" si="9"/>
        <v>0</v>
      </c>
    </row>
    <row r="176" spans="1:11" s="4" customFormat="1" ht="30" customHeight="1" x14ac:dyDescent="0.25">
      <c r="A176" s="158"/>
      <c r="B176" s="171" t="s">
        <v>328</v>
      </c>
      <c r="C176" s="172"/>
      <c r="D176" s="173"/>
      <c r="E176" s="236"/>
      <c r="F176" s="236">
        <f>SUM(F173:F175)</f>
        <v>0</v>
      </c>
      <c r="G176" s="141"/>
      <c r="H176" s="3"/>
      <c r="I176" s="8"/>
      <c r="J176" s="1"/>
      <c r="K176" s="1"/>
    </row>
    <row r="177" spans="1:16" s="5" customFormat="1" ht="30" customHeight="1" x14ac:dyDescent="0.25">
      <c r="A177" s="208"/>
      <c r="B177" s="209" t="s">
        <v>329</v>
      </c>
      <c r="C177" s="209"/>
      <c r="D177" s="210"/>
      <c r="E177" s="244"/>
      <c r="F177" s="208">
        <f>F5+F14+F36+F48+F55+F59+F66+F112+F120+F164+F171+F176</f>
        <v>0</v>
      </c>
      <c r="G177" s="141"/>
      <c r="H177" s="136"/>
      <c r="I177" s="9"/>
    </row>
    <row r="178" spans="1:16" s="1" customFormat="1" ht="30" customHeight="1" x14ac:dyDescent="0.25">
      <c r="A178" s="154"/>
      <c r="B178" s="159"/>
      <c r="C178" s="188"/>
      <c r="D178" s="204"/>
      <c r="E178" s="187"/>
      <c r="F178" s="169"/>
      <c r="G178" s="141"/>
      <c r="H178" s="3"/>
      <c r="I178" s="8"/>
    </row>
    <row r="179" spans="1:16" s="1" customFormat="1" ht="30" customHeight="1" x14ac:dyDescent="0.25">
      <c r="A179" s="211" t="s">
        <v>330</v>
      </c>
      <c r="B179" s="262" t="s">
        <v>331</v>
      </c>
      <c r="C179" s="262"/>
      <c r="D179" s="262"/>
      <c r="E179" s="262"/>
      <c r="F179" s="262"/>
      <c r="G179" s="141"/>
      <c r="H179" s="3"/>
      <c r="I179" s="8"/>
    </row>
    <row r="180" spans="1:16" s="1" customFormat="1" ht="30" customHeight="1" x14ac:dyDescent="0.25">
      <c r="A180" s="154">
        <v>1</v>
      </c>
      <c r="B180" s="159" t="s">
        <v>13</v>
      </c>
      <c r="C180" s="168" t="s">
        <v>14</v>
      </c>
      <c r="D180" s="168"/>
      <c r="E180" s="185"/>
      <c r="F180" s="168"/>
      <c r="G180" s="141"/>
      <c r="H180" s="3"/>
      <c r="I180" s="8"/>
    </row>
    <row r="181" spans="1:16" s="1" customFormat="1" ht="41.4" x14ac:dyDescent="0.25">
      <c r="A181" s="160" t="s">
        <v>9</v>
      </c>
      <c r="B181" s="170" t="s">
        <v>16</v>
      </c>
      <c r="C181" s="168" t="s">
        <v>17</v>
      </c>
      <c r="D181" s="168">
        <f>8.33*6.96</f>
        <v>57.976799999999997</v>
      </c>
      <c r="E181" s="185"/>
      <c r="F181" s="174">
        <f>D181*E181</f>
        <v>0</v>
      </c>
      <c r="G181" s="141"/>
      <c r="H181" s="3"/>
      <c r="I181" s="8"/>
    </row>
    <row r="182" spans="1:16" s="1" customFormat="1" ht="30" customHeight="1" x14ac:dyDescent="0.25">
      <c r="A182" s="160" t="s">
        <v>332</v>
      </c>
      <c r="B182" s="170" t="s">
        <v>24</v>
      </c>
      <c r="C182" s="168" t="s">
        <v>22</v>
      </c>
      <c r="D182" s="168">
        <f>+(2.94*0.7*0.6)+(1.46*0.4*0.6)</f>
        <v>1.5851999999999999</v>
      </c>
      <c r="E182" s="185"/>
      <c r="F182" s="174">
        <f t="shared" ref="F182:F184" si="10">D182*E182</f>
        <v>0</v>
      </c>
      <c r="G182" s="141"/>
      <c r="H182" s="3"/>
      <c r="I182" s="8"/>
    </row>
    <row r="183" spans="1:16" s="1" customFormat="1" ht="55.2" x14ac:dyDescent="0.25">
      <c r="A183" s="160" t="s">
        <v>333</v>
      </c>
      <c r="B183" s="170" t="s">
        <v>26</v>
      </c>
      <c r="C183" s="168" t="s">
        <v>22</v>
      </c>
      <c r="D183" s="168">
        <f>+D182</f>
        <v>1.5851999999999999</v>
      </c>
      <c r="E183" s="185"/>
      <c r="F183" s="174">
        <f t="shared" si="10"/>
        <v>0</v>
      </c>
      <c r="G183" s="141"/>
      <c r="H183" s="3"/>
      <c r="I183" s="8"/>
    </row>
    <row r="184" spans="1:16" s="1" customFormat="1" ht="55.2" x14ac:dyDescent="0.25">
      <c r="A184" s="160" t="s">
        <v>334</v>
      </c>
      <c r="B184" s="170" t="s">
        <v>28</v>
      </c>
      <c r="C184" s="168" t="s">
        <v>22</v>
      </c>
      <c r="D184" s="168">
        <f>+(2.94*0.1*0.35)+(1.46*0.3*0.35)</f>
        <v>0.25619999999999998</v>
      </c>
      <c r="E184" s="185"/>
      <c r="F184" s="174">
        <f t="shared" si="10"/>
        <v>0</v>
      </c>
      <c r="G184" s="141"/>
      <c r="H184" s="3"/>
      <c r="I184" s="8"/>
    </row>
    <row r="185" spans="1:16" s="1" customFormat="1" ht="30" customHeight="1" x14ac:dyDescent="0.25">
      <c r="A185" s="158"/>
      <c r="B185" s="164" t="s">
        <v>335</v>
      </c>
      <c r="C185" s="172"/>
      <c r="D185" s="173"/>
      <c r="E185" s="236"/>
      <c r="F185" s="236">
        <f>SUM(F181:F184)</f>
        <v>0</v>
      </c>
      <c r="G185" s="141"/>
      <c r="H185" s="3"/>
      <c r="I185" s="8"/>
    </row>
    <row r="186" spans="1:16" s="1" customFormat="1" ht="30" customHeight="1" x14ac:dyDescent="0.25">
      <c r="A186" s="154">
        <v>2</v>
      </c>
      <c r="B186" s="159" t="s">
        <v>32</v>
      </c>
      <c r="C186" s="175"/>
      <c r="D186" s="175"/>
      <c r="E186" s="237"/>
      <c r="F186" s="238"/>
      <c r="G186" s="141"/>
      <c r="H186" s="3"/>
      <c r="I186" s="8"/>
    </row>
    <row r="187" spans="1:16" s="1" customFormat="1" ht="30" customHeight="1" x14ac:dyDescent="0.25">
      <c r="A187" s="160" t="s">
        <v>15</v>
      </c>
      <c r="B187" s="159" t="s">
        <v>34</v>
      </c>
      <c r="C187" s="168"/>
      <c r="D187" s="168"/>
      <c r="E187" s="237"/>
      <c r="F187" s="238"/>
      <c r="G187" s="141"/>
      <c r="H187" s="3"/>
      <c r="I187" s="8"/>
    </row>
    <row r="188" spans="1:16" s="1" customFormat="1" ht="30" customHeight="1" x14ac:dyDescent="0.25">
      <c r="A188" s="174" t="s">
        <v>336</v>
      </c>
      <c r="B188" s="170" t="s">
        <v>36</v>
      </c>
      <c r="C188" s="168" t="s">
        <v>22</v>
      </c>
      <c r="D188" s="168">
        <f>1.1*(2.94*1*0.05)+(1.46*1*0.05)</f>
        <v>0.23470000000000002</v>
      </c>
      <c r="E188" s="185"/>
      <c r="F188" s="174">
        <f>D188*E188</f>
        <v>0</v>
      </c>
      <c r="G188" s="141"/>
      <c r="H188" s="3"/>
      <c r="I188" s="8"/>
      <c r="J188" s="5"/>
      <c r="K188" s="5"/>
      <c r="L188" s="5"/>
      <c r="M188" s="5"/>
      <c r="N188" s="5"/>
      <c r="O188" s="5"/>
      <c r="P188" s="5"/>
    </row>
    <row r="189" spans="1:16" s="1" customFormat="1" ht="30" customHeight="1" x14ac:dyDescent="0.25">
      <c r="A189" s="174" t="s">
        <v>337</v>
      </c>
      <c r="B189" s="170" t="s">
        <v>40</v>
      </c>
      <c r="C189" s="168" t="s">
        <v>22</v>
      </c>
      <c r="D189" s="168">
        <f>1.1*(2.94*1*0.2)+(1.46*1*0.2)</f>
        <v>0.93880000000000008</v>
      </c>
      <c r="E189" s="185"/>
      <c r="F189" s="174">
        <f t="shared" ref="F189:F195" si="11">D189*E189</f>
        <v>0</v>
      </c>
      <c r="G189" s="141"/>
      <c r="H189" s="3"/>
      <c r="I189" s="8"/>
      <c r="J189" s="5"/>
      <c r="K189" s="5"/>
      <c r="L189" s="5"/>
      <c r="M189" s="5"/>
      <c r="N189" s="5"/>
      <c r="O189" s="5"/>
      <c r="P189" s="5"/>
    </row>
    <row r="190" spans="1:16" s="1" customFormat="1" ht="30" customHeight="1" x14ac:dyDescent="0.25">
      <c r="A190" s="174" t="s">
        <v>338</v>
      </c>
      <c r="B190" s="170" t="s">
        <v>42</v>
      </c>
      <c r="C190" s="168" t="s">
        <v>22</v>
      </c>
      <c r="D190" s="168">
        <f>0.15*0.1*1.95*2*1.1</f>
        <v>6.4350000000000004E-2</v>
      </c>
      <c r="E190" s="185"/>
      <c r="F190" s="174">
        <f t="shared" si="11"/>
        <v>0</v>
      </c>
      <c r="G190" s="141"/>
      <c r="H190" s="3"/>
      <c r="I190" s="8"/>
      <c r="J190" s="5"/>
      <c r="K190" s="5"/>
      <c r="L190" s="5"/>
      <c r="M190" s="5"/>
      <c r="N190" s="5"/>
      <c r="O190" s="5"/>
      <c r="P190" s="5"/>
    </row>
    <row r="191" spans="1:16" s="1" customFormat="1" ht="30" customHeight="1" x14ac:dyDescent="0.25">
      <c r="A191" s="174" t="s">
        <v>339</v>
      </c>
      <c r="B191" s="170" t="s">
        <v>340</v>
      </c>
      <c r="C191" s="168" t="s">
        <v>22</v>
      </c>
      <c r="D191" s="168">
        <f>1.1*(5.5*0.4)</f>
        <v>2.4200000000000004</v>
      </c>
      <c r="E191" s="185"/>
      <c r="F191" s="174">
        <f t="shared" si="11"/>
        <v>0</v>
      </c>
      <c r="G191" s="141"/>
      <c r="H191" s="3"/>
      <c r="I191" s="8"/>
      <c r="J191" s="5"/>
      <c r="K191" s="5"/>
      <c r="L191" s="5"/>
      <c r="M191" s="5"/>
      <c r="N191" s="5"/>
      <c r="O191" s="5"/>
      <c r="P191" s="5"/>
    </row>
    <row r="192" spans="1:16" s="1" customFormat="1" ht="30" customHeight="1" x14ac:dyDescent="0.25">
      <c r="A192" s="174" t="s">
        <v>341</v>
      </c>
      <c r="B192" s="159" t="s">
        <v>342</v>
      </c>
      <c r="C192" s="168"/>
      <c r="D192" s="168"/>
      <c r="E192" s="238"/>
      <c r="F192" s="174">
        <f t="shared" si="11"/>
        <v>0</v>
      </c>
      <c r="G192" s="141"/>
      <c r="H192" s="3"/>
      <c r="I192" s="8"/>
    </row>
    <row r="193" spans="1:9" s="1" customFormat="1" ht="30" customHeight="1" x14ac:dyDescent="0.25">
      <c r="A193" s="174" t="s">
        <v>343</v>
      </c>
      <c r="B193" s="170" t="s">
        <v>56</v>
      </c>
      <c r="C193" s="168" t="s">
        <v>22</v>
      </c>
      <c r="D193" s="168">
        <f>0.15*0.1*1.35*2*1.1</f>
        <v>4.4550000000000006E-2</v>
      </c>
      <c r="E193" s="185"/>
      <c r="F193" s="174">
        <f t="shared" si="11"/>
        <v>0</v>
      </c>
      <c r="G193" s="141"/>
      <c r="H193" s="3"/>
      <c r="I193" s="8"/>
    </row>
    <row r="194" spans="1:9" s="1" customFormat="1" ht="30" customHeight="1" x14ac:dyDescent="0.25">
      <c r="A194" s="174" t="s">
        <v>344</v>
      </c>
      <c r="B194" s="170" t="s">
        <v>345</v>
      </c>
      <c r="C194" s="176" t="s">
        <v>22</v>
      </c>
      <c r="D194" s="168">
        <f>9.78*0.1*1.1</f>
        <v>1.0758000000000001</v>
      </c>
      <c r="E194" s="239"/>
      <c r="F194" s="174">
        <f t="shared" si="11"/>
        <v>0</v>
      </c>
      <c r="G194" s="141"/>
      <c r="H194" s="3"/>
      <c r="I194" s="8"/>
    </row>
    <row r="195" spans="1:9" s="1" customFormat="1" ht="30" customHeight="1" x14ac:dyDescent="0.25">
      <c r="A195" s="174" t="s">
        <v>346</v>
      </c>
      <c r="B195" s="170" t="s">
        <v>347</v>
      </c>
      <c r="C195" s="168" t="s">
        <v>22</v>
      </c>
      <c r="D195" s="168">
        <f>5.5*0.1*0.1*1.1</f>
        <v>6.0500000000000012E-2</v>
      </c>
      <c r="E195" s="185"/>
      <c r="F195" s="174">
        <f t="shared" si="11"/>
        <v>0</v>
      </c>
      <c r="G195" s="141"/>
      <c r="H195" s="3"/>
      <c r="I195" s="8"/>
    </row>
    <row r="196" spans="1:9" s="1" customFormat="1" ht="30" customHeight="1" x14ac:dyDescent="0.25">
      <c r="A196" s="205"/>
      <c r="B196" s="171" t="s">
        <v>348</v>
      </c>
      <c r="C196" s="181"/>
      <c r="D196" s="182"/>
      <c r="E196" s="240"/>
      <c r="F196" s="240">
        <f>SUM(F188:F195)</f>
        <v>0</v>
      </c>
      <c r="G196" s="141"/>
      <c r="H196" s="3"/>
      <c r="I196" s="8"/>
    </row>
    <row r="197" spans="1:9" s="1" customFormat="1" ht="30" customHeight="1" x14ac:dyDescent="0.25">
      <c r="A197" s="154">
        <v>3</v>
      </c>
      <c r="B197" s="159" t="s">
        <v>74</v>
      </c>
      <c r="C197" s="168"/>
      <c r="D197" s="168"/>
      <c r="E197" s="185"/>
      <c r="F197" s="185"/>
      <c r="G197" s="141"/>
      <c r="H197" s="3"/>
      <c r="I197" s="8"/>
    </row>
    <row r="198" spans="1:9" s="1" customFormat="1" ht="30" customHeight="1" x14ac:dyDescent="0.25">
      <c r="A198" s="174" t="s">
        <v>33</v>
      </c>
      <c r="B198" s="170" t="s">
        <v>349</v>
      </c>
      <c r="C198" s="168" t="s">
        <v>17</v>
      </c>
      <c r="D198" s="168">
        <f>1.1*(5.5*1.25)</f>
        <v>7.5625000000000009</v>
      </c>
      <c r="E198" s="185"/>
      <c r="F198" s="174">
        <f>D198*E198</f>
        <v>0</v>
      </c>
      <c r="G198" s="141"/>
      <c r="H198" s="3"/>
      <c r="I198" s="8"/>
    </row>
    <row r="199" spans="1:9" s="1" customFormat="1" ht="30" customHeight="1" x14ac:dyDescent="0.25">
      <c r="A199" s="174" t="s">
        <v>53</v>
      </c>
      <c r="B199" s="170" t="s">
        <v>91</v>
      </c>
      <c r="C199" s="168" t="s">
        <v>17</v>
      </c>
      <c r="D199" s="168">
        <v>14</v>
      </c>
      <c r="E199" s="185"/>
      <c r="F199" s="174">
        <f t="shared" ref="F199:F200" si="12">D199*E199</f>
        <v>0</v>
      </c>
      <c r="G199" s="141"/>
      <c r="H199" s="3"/>
      <c r="I199" s="8"/>
    </row>
    <row r="200" spans="1:9" s="1" customFormat="1" ht="30" customHeight="1" x14ac:dyDescent="0.25">
      <c r="A200" s="174" t="s">
        <v>350</v>
      </c>
      <c r="B200" s="170" t="s">
        <v>96</v>
      </c>
      <c r="C200" s="168" t="s">
        <v>17</v>
      </c>
      <c r="D200" s="168">
        <v>3</v>
      </c>
      <c r="E200" s="185"/>
      <c r="F200" s="174">
        <f t="shared" si="12"/>
        <v>0</v>
      </c>
      <c r="G200" s="141"/>
      <c r="H200" s="3"/>
      <c r="I200" s="8"/>
    </row>
    <row r="201" spans="1:9" s="1" customFormat="1" ht="30" customHeight="1" x14ac:dyDescent="0.25">
      <c r="A201" s="163"/>
      <c r="B201" s="171" t="s">
        <v>351</v>
      </c>
      <c r="C201" s="183"/>
      <c r="D201" s="184"/>
      <c r="E201" s="241"/>
      <c r="F201" s="245">
        <f>SUM(F198:F200)</f>
        <v>0</v>
      </c>
      <c r="G201" s="141"/>
      <c r="H201" s="3"/>
      <c r="I201" s="8"/>
    </row>
    <row r="202" spans="1:9" s="1" customFormat="1" ht="30" customHeight="1" x14ac:dyDescent="0.25">
      <c r="A202" s="154">
        <v>4</v>
      </c>
      <c r="B202" s="159" t="s">
        <v>352</v>
      </c>
      <c r="C202" s="168"/>
      <c r="D202" s="185"/>
      <c r="E202" s="185"/>
      <c r="F202" s="185"/>
      <c r="G202" s="141"/>
      <c r="H202" s="3"/>
      <c r="I202" s="8"/>
    </row>
    <row r="203" spans="1:9" s="1" customFormat="1" ht="30" customHeight="1" x14ac:dyDescent="0.25">
      <c r="A203" s="174" t="s">
        <v>75</v>
      </c>
      <c r="B203" s="186" t="s">
        <v>353</v>
      </c>
      <c r="C203" s="168" t="s">
        <v>231</v>
      </c>
      <c r="D203" s="185">
        <v>1</v>
      </c>
      <c r="E203" s="185"/>
      <c r="F203" s="174">
        <f>D203*E203</f>
        <v>0</v>
      </c>
      <c r="G203" s="141"/>
      <c r="H203" s="3"/>
      <c r="I203" s="8"/>
    </row>
    <row r="204" spans="1:9" s="1" customFormat="1" ht="30" customHeight="1" x14ac:dyDescent="0.25">
      <c r="A204" s="163"/>
      <c r="B204" s="164" t="s">
        <v>354</v>
      </c>
      <c r="C204" s="183"/>
      <c r="D204" s="184"/>
      <c r="E204" s="241"/>
      <c r="F204" s="242">
        <f>F203</f>
        <v>0</v>
      </c>
      <c r="G204" s="141"/>
      <c r="H204" s="3"/>
      <c r="I204" s="8"/>
    </row>
    <row r="205" spans="1:9" s="1" customFormat="1" ht="30" customHeight="1" x14ac:dyDescent="0.25">
      <c r="A205" s="154">
        <v>5</v>
      </c>
      <c r="B205" s="159" t="s">
        <v>116</v>
      </c>
      <c r="C205" s="188"/>
      <c r="D205" s="168"/>
      <c r="E205" s="243"/>
      <c r="F205" s="185"/>
      <c r="G205" s="141"/>
      <c r="H205" s="3"/>
      <c r="I205" s="8"/>
    </row>
    <row r="206" spans="1:9" s="1" customFormat="1" ht="30" customHeight="1" x14ac:dyDescent="0.25">
      <c r="A206" s="174" t="s">
        <v>99</v>
      </c>
      <c r="B206" s="170" t="s">
        <v>355</v>
      </c>
      <c r="C206" s="168" t="s">
        <v>17</v>
      </c>
      <c r="D206" s="168">
        <v>6</v>
      </c>
      <c r="E206" s="185"/>
      <c r="F206" s="174">
        <f>D206*E206</f>
        <v>0</v>
      </c>
      <c r="G206" s="141"/>
      <c r="H206" s="3"/>
      <c r="I206" s="8"/>
    </row>
    <row r="207" spans="1:9" s="1" customFormat="1" ht="30" customHeight="1" x14ac:dyDescent="0.25">
      <c r="A207" s="163"/>
      <c r="B207" s="164" t="s">
        <v>356</v>
      </c>
      <c r="C207" s="183"/>
      <c r="D207" s="184"/>
      <c r="E207" s="241"/>
      <c r="F207" s="242">
        <f>F206</f>
        <v>0</v>
      </c>
      <c r="G207" s="141"/>
      <c r="H207" s="3"/>
      <c r="I207" s="8"/>
    </row>
    <row r="208" spans="1:9" s="1" customFormat="1" ht="30" customHeight="1" x14ac:dyDescent="0.25">
      <c r="A208" s="154">
        <v>6</v>
      </c>
      <c r="B208" s="159" t="s">
        <v>210</v>
      </c>
      <c r="C208" s="168" t="s">
        <v>14</v>
      </c>
      <c r="D208" s="168"/>
      <c r="E208" s="185"/>
      <c r="F208" s="185"/>
      <c r="G208" s="141"/>
      <c r="H208" s="3"/>
      <c r="I208" s="8"/>
    </row>
    <row r="209" spans="1:10" s="1" customFormat="1" ht="30" customHeight="1" x14ac:dyDescent="0.25">
      <c r="A209" s="174" t="s">
        <v>111</v>
      </c>
      <c r="B209" s="195" t="s">
        <v>216</v>
      </c>
      <c r="C209" s="196" t="s">
        <v>17</v>
      </c>
      <c r="D209" s="168">
        <f>D199</f>
        <v>14</v>
      </c>
      <c r="E209" s="185"/>
      <c r="F209" s="174">
        <f>D209*E209</f>
        <v>0</v>
      </c>
      <c r="G209" s="141"/>
      <c r="H209" s="3"/>
      <c r="I209" s="8"/>
    </row>
    <row r="210" spans="1:10" s="1" customFormat="1" ht="30" customHeight="1" x14ac:dyDescent="0.25">
      <c r="A210" s="163"/>
      <c r="B210" s="164" t="s">
        <v>357</v>
      </c>
      <c r="C210" s="183"/>
      <c r="D210" s="184"/>
      <c r="E210" s="241"/>
      <c r="F210" s="242">
        <f>F209</f>
        <v>0</v>
      </c>
      <c r="G210" s="141"/>
      <c r="H210" s="3"/>
      <c r="I210" s="8"/>
    </row>
    <row r="211" spans="1:10" s="2" customFormat="1" ht="30" customHeight="1" x14ac:dyDescent="0.25">
      <c r="A211" s="208"/>
      <c r="B211" s="209" t="s">
        <v>358</v>
      </c>
      <c r="C211" s="209"/>
      <c r="D211" s="210"/>
      <c r="E211" s="244"/>
      <c r="F211" s="208">
        <f>F185+F196+F201+F204+F207+F210</f>
        <v>0</v>
      </c>
      <c r="G211" s="141"/>
      <c r="H211" s="3"/>
      <c r="I211" s="7"/>
      <c r="J211" s="3"/>
    </row>
    <row r="212" spans="1:10" s="2" customFormat="1" ht="30" customHeight="1" x14ac:dyDescent="0.25">
      <c r="A212" s="150"/>
      <c r="B212" s="151"/>
      <c r="C212" s="147"/>
      <c r="D212" s="148"/>
      <c r="E212" s="149"/>
      <c r="F212" s="149"/>
      <c r="G212" s="141"/>
      <c r="H212" s="3"/>
      <c r="I212" s="7"/>
      <c r="J212" s="3"/>
    </row>
    <row r="213" spans="1:10" s="2" customFormat="1" ht="30" customHeight="1" x14ac:dyDescent="0.25">
      <c r="A213" s="207" t="s">
        <v>359</v>
      </c>
      <c r="B213" s="263" t="s">
        <v>360</v>
      </c>
      <c r="C213" s="263"/>
      <c r="D213" s="263"/>
      <c r="E213" s="263"/>
      <c r="F213" s="263"/>
      <c r="G213" s="141"/>
      <c r="H213" s="3"/>
      <c r="I213" s="8"/>
      <c r="J213" s="1"/>
    </row>
    <row r="214" spans="1:10" s="1" customFormat="1" ht="30" customHeight="1" x14ac:dyDescent="0.25">
      <c r="A214" s="212">
        <v>1</v>
      </c>
      <c r="B214" s="216" t="s">
        <v>361</v>
      </c>
      <c r="C214" s="212"/>
      <c r="D214" s="212"/>
      <c r="E214" s="212"/>
      <c r="F214" s="212"/>
      <c r="G214" s="141"/>
      <c r="H214" s="3"/>
      <c r="I214" s="8"/>
    </row>
    <row r="215" spans="1:10" s="1" customFormat="1" ht="30" customHeight="1" x14ac:dyDescent="0.25">
      <c r="A215" s="213" t="s">
        <v>9</v>
      </c>
      <c r="B215" s="217" t="s">
        <v>362</v>
      </c>
      <c r="C215" s="223" t="s">
        <v>363</v>
      </c>
      <c r="D215" s="224">
        <v>74.44</v>
      </c>
      <c r="E215" s="225"/>
      <c r="F215" s="234">
        <f>D215*E215</f>
        <v>0</v>
      </c>
      <c r="G215" s="139"/>
      <c r="H215" s="3"/>
      <c r="I215" s="8"/>
    </row>
    <row r="216" spans="1:10" s="1" customFormat="1" ht="30" customHeight="1" x14ac:dyDescent="0.25">
      <c r="A216" s="213" t="s">
        <v>332</v>
      </c>
      <c r="B216" s="218" t="s">
        <v>364</v>
      </c>
      <c r="C216" s="223" t="s">
        <v>365</v>
      </c>
      <c r="D216" s="224">
        <v>1</v>
      </c>
      <c r="E216" s="225"/>
      <c r="F216" s="234">
        <f t="shared" ref="F216:F221" si="13">D216*E216</f>
        <v>0</v>
      </c>
      <c r="G216" s="139"/>
      <c r="H216" s="3"/>
      <c r="I216" s="8"/>
    </row>
    <row r="217" spans="1:10" s="1" customFormat="1" ht="30" customHeight="1" x14ac:dyDescent="0.25">
      <c r="A217" s="213" t="s">
        <v>333</v>
      </c>
      <c r="B217" s="217" t="s">
        <v>366</v>
      </c>
      <c r="C217" s="223" t="s">
        <v>367</v>
      </c>
      <c r="D217" s="224">
        <v>30.78</v>
      </c>
      <c r="E217" s="225"/>
      <c r="F217" s="234">
        <f t="shared" si="13"/>
        <v>0</v>
      </c>
      <c r="G217" s="139"/>
      <c r="H217" s="3"/>
      <c r="I217" s="7"/>
      <c r="J217" s="3"/>
    </row>
    <row r="218" spans="1:10" s="2" customFormat="1" ht="30" customHeight="1" x14ac:dyDescent="0.25">
      <c r="A218" s="213" t="s">
        <v>334</v>
      </c>
      <c r="B218" s="218" t="s">
        <v>368</v>
      </c>
      <c r="C218" s="223" t="s">
        <v>367</v>
      </c>
      <c r="D218" s="224">
        <v>3.7530000000000001</v>
      </c>
      <c r="E218" s="225"/>
      <c r="F218" s="234">
        <f t="shared" si="13"/>
        <v>0</v>
      </c>
      <c r="G218" s="139"/>
      <c r="H218" s="3"/>
      <c r="I218" s="7"/>
      <c r="J218" s="3"/>
    </row>
    <row r="219" spans="1:10" s="2" customFormat="1" ht="30" customHeight="1" x14ac:dyDescent="0.25">
      <c r="A219" s="213" t="s">
        <v>369</v>
      </c>
      <c r="B219" s="218" t="s">
        <v>370</v>
      </c>
      <c r="C219" s="223" t="s">
        <v>367</v>
      </c>
      <c r="D219" s="224">
        <v>3.1320000000000001</v>
      </c>
      <c r="E219" s="225"/>
      <c r="F219" s="234">
        <f t="shared" si="13"/>
        <v>0</v>
      </c>
      <c r="G219" s="139"/>
      <c r="H219" s="3"/>
      <c r="I219" s="7"/>
      <c r="J219" s="3"/>
    </row>
    <row r="220" spans="1:10" s="2" customFormat="1" ht="30" customHeight="1" x14ac:dyDescent="0.25">
      <c r="A220" s="213" t="s">
        <v>371</v>
      </c>
      <c r="B220" s="218" t="s">
        <v>372</v>
      </c>
      <c r="C220" s="223" t="s">
        <v>367</v>
      </c>
      <c r="D220" s="224">
        <v>1.94</v>
      </c>
      <c r="E220" s="225"/>
      <c r="F220" s="234">
        <f t="shared" si="13"/>
        <v>0</v>
      </c>
      <c r="G220" s="139"/>
      <c r="H220" s="3"/>
      <c r="I220" s="7"/>
      <c r="J220" s="3"/>
    </row>
    <row r="221" spans="1:10" s="2" customFormat="1" ht="30" customHeight="1" x14ac:dyDescent="0.25">
      <c r="A221" s="213" t="s">
        <v>373</v>
      </c>
      <c r="B221" s="218" t="s">
        <v>374</v>
      </c>
      <c r="C221" s="223" t="s">
        <v>365</v>
      </c>
      <c r="D221" s="224">
        <v>1</v>
      </c>
      <c r="E221" s="225"/>
      <c r="F221" s="234">
        <f t="shared" si="13"/>
        <v>0</v>
      </c>
      <c r="G221" s="139"/>
      <c r="H221" s="3"/>
      <c r="I221" s="7"/>
      <c r="J221" s="3"/>
    </row>
    <row r="222" spans="1:10" s="2" customFormat="1" ht="30" customHeight="1" x14ac:dyDescent="0.25">
      <c r="A222" s="163"/>
      <c r="B222" s="164" t="s">
        <v>375</v>
      </c>
      <c r="C222" s="183"/>
      <c r="D222" s="184"/>
      <c r="E222" s="241"/>
      <c r="F222" s="242">
        <f>SUM(F215:F221)</f>
        <v>0</v>
      </c>
      <c r="G222" s="139"/>
      <c r="H222" s="3"/>
      <c r="I222" s="7"/>
      <c r="J222" s="3"/>
    </row>
    <row r="223" spans="1:10" s="2" customFormat="1" ht="30" customHeight="1" x14ac:dyDescent="0.25">
      <c r="A223" s="212">
        <v>2</v>
      </c>
      <c r="B223" s="216" t="s">
        <v>376</v>
      </c>
      <c r="C223" s="212"/>
      <c r="D223" s="228"/>
      <c r="E223" s="229"/>
      <c r="F223" s="234"/>
      <c r="G223" s="139"/>
      <c r="H223" s="3"/>
      <c r="I223" s="7"/>
      <c r="J223" s="3"/>
    </row>
    <row r="224" spans="1:10" s="2" customFormat="1" ht="30" customHeight="1" x14ac:dyDescent="0.25">
      <c r="A224" s="213" t="s">
        <v>15</v>
      </c>
      <c r="B224" s="217" t="s">
        <v>377</v>
      </c>
      <c r="C224" s="223" t="s">
        <v>367</v>
      </c>
      <c r="D224" s="230">
        <v>0.626</v>
      </c>
      <c r="E224" s="225"/>
      <c r="F224" s="234">
        <f>D224*E224</f>
        <v>0</v>
      </c>
      <c r="G224" s="139"/>
      <c r="H224" s="3"/>
      <c r="I224" s="7"/>
      <c r="J224" s="3"/>
    </row>
    <row r="225" spans="1:10" s="2" customFormat="1" ht="30" customHeight="1" x14ac:dyDescent="0.25">
      <c r="A225" s="213" t="s">
        <v>341</v>
      </c>
      <c r="B225" s="217" t="s">
        <v>378</v>
      </c>
      <c r="C225" s="223" t="s">
        <v>367</v>
      </c>
      <c r="D225" s="224">
        <v>2.5019999999999998</v>
      </c>
      <c r="E225" s="225"/>
      <c r="F225" s="234">
        <f t="shared" ref="F225:F230" si="14">D225*E225</f>
        <v>0</v>
      </c>
      <c r="G225" s="139"/>
      <c r="H225" s="3"/>
      <c r="I225" s="7"/>
      <c r="J225" s="3"/>
    </row>
    <row r="226" spans="1:10" s="2" customFormat="1" ht="30" customHeight="1" x14ac:dyDescent="0.25">
      <c r="A226" s="213" t="s">
        <v>18</v>
      </c>
      <c r="B226" s="217" t="s">
        <v>379</v>
      </c>
      <c r="C226" s="223" t="s">
        <v>363</v>
      </c>
      <c r="D226" s="224">
        <v>50.14</v>
      </c>
      <c r="E226" s="225"/>
      <c r="F226" s="234">
        <f t="shared" si="14"/>
        <v>0</v>
      </c>
      <c r="G226" s="139"/>
      <c r="H226" s="3"/>
      <c r="I226" s="7"/>
      <c r="J226" s="3"/>
    </row>
    <row r="227" spans="1:10" s="2" customFormat="1" ht="30" customHeight="1" x14ac:dyDescent="0.25">
      <c r="A227" s="213" t="s">
        <v>20</v>
      </c>
      <c r="B227" s="217" t="s">
        <v>380</v>
      </c>
      <c r="C227" s="223" t="s">
        <v>367</v>
      </c>
      <c r="D227" s="231">
        <v>0.40500000000000003</v>
      </c>
      <c r="E227" s="225"/>
      <c r="F227" s="234">
        <f t="shared" si="14"/>
        <v>0</v>
      </c>
      <c r="G227" s="139"/>
      <c r="H227" s="3"/>
      <c r="I227" s="7"/>
      <c r="J227" s="3"/>
    </row>
    <row r="228" spans="1:10" s="2" customFormat="1" ht="30" customHeight="1" x14ac:dyDescent="0.25">
      <c r="A228" s="213" t="s">
        <v>23</v>
      </c>
      <c r="B228" s="217" t="s">
        <v>381</v>
      </c>
      <c r="C228" s="223" t="s">
        <v>367</v>
      </c>
      <c r="D228" s="231">
        <v>0.88800000000000001</v>
      </c>
      <c r="E228" s="225"/>
      <c r="F228" s="234">
        <f t="shared" si="14"/>
        <v>0</v>
      </c>
      <c r="G228" s="139"/>
      <c r="H228" s="3"/>
      <c r="I228" s="7"/>
      <c r="J228" s="3"/>
    </row>
    <row r="229" spans="1:10" s="2" customFormat="1" ht="30" customHeight="1" x14ac:dyDescent="0.25">
      <c r="A229" s="213" t="s">
        <v>25</v>
      </c>
      <c r="B229" s="217" t="s">
        <v>382</v>
      </c>
      <c r="C229" s="223" t="s">
        <v>367</v>
      </c>
      <c r="D229" s="231">
        <v>1.5680000000000001</v>
      </c>
      <c r="E229" s="225"/>
      <c r="F229" s="234">
        <f t="shared" si="14"/>
        <v>0</v>
      </c>
      <c r="G229" s="139"/>
      <c r="H229" s="3"/>
      <c r="I229" s="7"/>
      <c r="J229" s="3"/>
    </row>
    <row r="230" spans="1:10" s="2" customFormat="1" ht="30" customHeight="1" x14ac:dyDescent="0.25">
      <c r="A230" s="213" t="s">
        <v>27</v>
      </c>
      <c r="B230" s="218" t="s">
        <v>383</v>
      </c>
      <c r="C230" s="223" t="s">
        <v>363</v>
      </c>
      <c r="D230" s="224">
        <v>62.4</v>
      </c>
      <c r="E230" s="225"/>
      <c r="F230" s="234">
        <f t="shared" si="14"/>
        <v>0</v>
      </c>
      <c r="G230" s="139"/>
      <c r="H230" s="3"/>
      <c r="I230" s="7"/>
      <c r="J230" s="3"/>
    </row>
    <row r="231" spans="1:10" s="2" customFormat="1" ht="30" customHeight="1" x14ac:dyDescent="0.25">
      <c r="A231" s="163"/>
      <c r="B231" s="167" t="s">
        <v>384</v>
      </c>
      <c r="C231" s="163"/>
      <c r="D231" s="163"/>
      <c r="E231" s="163"/>
      <c r="F231" s="163">
        <f>SUM(F224:F230)</f>
        <v>0</v>
      </c>
      <c r="G231" s="139"/>
      <c r="H231" s="3"/>
      <c r="I231" s="7"/>
      <c r="J231" s="3"/>
    </row>
    <row r="232" spans="1:10" s="2" customFormat="1" ht="30" customHeight="1" x14ac:dyDescent="0.25">
      <c r="A232" s="212">
        <v>3</v>
      </c>
      <c r="B232" s="216" t="s">
        <v>385</v>
      </c>
      <c r="C232" s="212"/>
      <c r="D232" s="228"/>
      <c r="E232" s="229"/>
      <c r="F232" s="234"/>
      <c r="G232" s="139"/>
      <c r="H232" s="3"/>
      <c r="I232" s="7"/>
      <c r="J232" s="3"/>
    </row>
    <row r="233" spans="1:10" s="2" customFormat="1" ht="30" customHeight="1" x14ac:dyDescent="0.25">
      <c r="A233" s="213" t="s">
        <v>33</v>
      </c>
      <c r="B233" s="217" t="s">
        <v>386</v>
      </c>
      <c r="C233" s="223" t="s">
        <v>367</v>
      </c>
      <c r="D233" s="230">
        <v>0.82</v>
      </c>
      <c r="E233" s="225"/>
      <c r="F233" s="234">
        <f>D233*E233</f>
        <v>0</v>
      </c>
      <c r="G233" s="139"/>
      <c r="H233" s="3"/>
      <c r="I233" s="7"/>
      <c r="J233" s="3"/>
    </row>
    <row r="234" spans="1:10" s="2" customFormat="1" ht="30" customHeight="1" x14ac:dyDescent="0.25">
      <c r="A234" s="213" t="s">
        <v>53</v>
      </c>
      <c r="B234" s="217" t="s">
        <v>387</v>
      </c>
      <c r="C234" s="223" t="s">
        <v>367</v>
      </c>
      <c r="D234" s="224">
        <v>1.4039999999999999</v>
      </c>
      <c r="E234" s="225"/>
      <c r="F234" s="234">
        <f t="shared" ref="F234:F240" si="15">D234*E234</f>
        <v>0</v>
      </c>
      <c r="G234" s="139"/>
      <c r="H234" s="3"/>
      <c r="I234" s="7"/>
      <c r="J234" s="3"/>
    </row>
    <row r="235" spans="1:10" s="2" customFormat="1" ht="30" customHeight="1" x14ac:dyDescent="0.25">
      <c r="A235" s="213" t="s">
        <v>350</v>
      </c>
      <c r="B235" s="217" t="s">
        <v>388</v>
      </c>
      <c r="C235" s="223" t="s">
        <v>367</v>
      </c>
      <c r="D235" s="230">
        <v>0.33300000000000002</v>
      </c>
      <c r="E235" s="225"/>
      <c r="F235" s="234">
        <f t="shared" si="15"/>
        <v>0</v>
      </c>
      <c r="G235" s="141"/>
      <c r="H235" s="3"/>
      <c r="I235" s="7"/>
      <c r="J235" s="3"/>
    </row>
    <row r="236" spans="1:10" s="2" customFormat="1" ht="30" customHeight="1" x14ac:dyDescent="0.25">
      <c r="A236" s="213" t="s">
        <v>389</v>
      </c>
      <c r="B236" s="217" t="s">
        <v>390</v>
      </c>
      <c r="C236" s="223" t="s">
        <v>363</v>
      </c>
      <c r="D236" s="224">
        <v>48.06</v>
      </c>
      <c r="E236" s="225"/>
      <c r="F236" s="234">
        <f t="shared" si="15"/>
        <v>0</v>
      </c>
      <c r="G236" s="141"/>
      <c r="H236" s="3"/>
      <c r="I236" s="7"/>
      <c r="J236" s="3"/>
    </row>
    <row r="237" spans="1:10" s="2" customFormat="1" ht="30" customHeight="1" x14ac:dyDescent="0.25">
      <c r="A237" s="213" t="s">
        <v>391</v>
      </c>
      <c r="B237" s="217" t="s">
        <v>392</v>
      </c>
      <c r="C237" s="223" t="s">
        <v>363</v>
      </c>
      <c r="D237" s="224">
        <v>1.44</v>
      </c>
      <c r="E237" s="225"/>
      <c r="F237" s="234">
        <f t="shared" si="15"/>
        <v>0</v>
      </c>
      <c r="G237" s="141"/>
      <c r="H237" s="3"/>
      <c r="I237" s="8"/>
      <c r="J237" s="1"/>
    </row>
    <row r="238" spans="1:10" s="1" customFormat="1" ht="30" customHeight="1" x14ac:dyDescent="0.25">
      <c r="A238" s="213" t="s">
        <v>393</v>
      </c>
      <c r="B238" s="217" t="s">
        <v>394</v>
      </c>
      <c r="C238" s="223" t="s">
        <v>395</v>
      </c>
      <c r="D238" s="224">
        <v>52</v>
      </c>
      <c r="E238" s="225"/>
      <c r="F238" s="234">
        <f t="shared" si="15"/>
        <v>0</v>
      </c>
      <c r="G238" s="139"/>
      <c r="H238" s="3"/>
      <c r="I238" s="8"/>
    </row>
    <row r="239" spans="1:10" s="1" customFormat="1" ht="30" customHeight="1" x14ac:dyDescent="0.25">
      <c r="A239" s="213" t="s">
        <v>396</v>
      </c>
      <c r="B239" s="217" t="s">
        <v>397</v>
      </c>
      <c r="C239" s="223" t="s">
        <v>363</v>
      </c>
      <c r="D239" s="224">
        <v>107.85</v>
      </c>
      <c r="E239" s="225"/>
      <c r="F239" s="234">
        <f t="shared" si="15"/>
        <v>0</v>
      </c>
      <c r="G239" s="139"/>
      <c r="H239" s="3"/>
      <c r="I239" s="8"/>
    </row>
    <row r="240" spans="1:10" s="1" customFormat="1" ht="30" customHeight="1" x14ac:dyDescent="0.25">
      <c r="A240" s="213" t="s">
        <v>398</v>
      </c>
      <c r="B240" s="220" t="s">
        <v>399</v>
      </c>
      <c r="C240" s="223" t="s">
        <v>363</v>
      </c>
      <c r="D240" s="224">
        <v>65</v>
      </c>
      <c r="E240" s="225"/>
      <c r="F240" s="234">
        <f t="shared" si="15"/>
        <v>0</v>
      </c>
      <c r="G240" s="139"/>
      <c r="H240" s="3"/>
      <c r="I240" s="7"/>
      <c r="J240" s="3"/>
    </row>
    <row r="241" spans="1:10" s="2" customFormat="1" ht="30" customHeight="1" x14ac:dyDescent="0.25">
      <c r="A241" s="163"/>
      <c r="B241" s="167" t="s">
        <v>400</v>
      </c>
      <c r="C241" s="163"/>
      <c r="D241" s="163"/>
      <c r="E241" s="163"/>
      <c r="F241" s="163">
        <f>SUM(F234:F240)</f>
        <v>0</v>
      </c>
      <c r="G241" s="141"/>
      <c r="H241" s="3"/>
      <c r="I241" s="7"/>
      <c r="J241" s="3"/>
    </row>
    <row r="242" spans="1:10" s="2" customFormat="1" ht="30" customHeight="1" x14ac:dyDescent="0.25">
      <c r="A242" s="215">
        <v>4</v>
      </c>
      <c r="B242" s="221" t="s">
        <v>401</v>
      </c>
      <c r="C242" s="215"/>
      <c r="D242" s="232"/>
      <c r="E242" s="225"/>
      <c r="F242" s="234"/>
      <c r="G242" s="141"/>
      <c r="H242" s="3"/>
      <c r="I242" s="7"/>
      <c r="J242" s="3"/>
    </row>
    <row r="243" spans="1:10" s="2" customFormat="1" ht="30" customHeight="1" x14ac:dyDescent="0.25">
      <c r="A243" s="213" t="s">
        <v>75</v>
      </c>
      <c r="B243" s="220" t="s">
        <v>402</v>
      </c>
      <c r="C243" s="223" t="s">
        <v>395</v>
      </c>
      <c r="D243" s="224">
        <v>2</v>
      </c>
      <c r="E243" s="225"/>
      <c r="F243" s="234">
        <f>D243*E243</f>
        <v>0</v>
      </c>
      <c r="G243" s="141"/>
      <c r="H243" s="3"/>
      <c r="I243" s="8"/>
      <c r="J243" s="1"/>
    </row>
    <row r="244" spans="1:10" s="1" customFormat="1" ht="30" customHeight="1" x14ac:dyDescent="0.25">
      <c r="A244" s="213" t="s">
        <v>77</v>
      </c>
      <c r="B244" s="220" t="s">
        <v>403</v>
      </c>
      <c r="C244" s="223" t="s">
        <v>395</v>
      </c>
      <c r="D244" s="224">
        <v>1</v>
      </c>
      <c r="E244" s="225"/>
      <c r="F244" s="234">
        <f>D244*E244</f>
        <v>0</v>
      </c>
      <c r="G244" s="141"/>
      <c r="H244" s="3"/>
      <c r="I244" s="8"/>
    </row>
    <row r="245" spans="1:10" s="1" customFormat="1" ht="30" customHeight="1" x14ac:dyDescent="0.25">
      <c r="A245" s="163"/>
      <c r="B245" s="167" t="s">
        <v>404</v>
      </c>
      <c r="C245" s="163"/>
      <c r="D245" s="163"/>
      <c r="E245" s="163"/>
      <c r="F245" s="163">
        <f>SUM(F243:F244)</f>
        <v>0</v>
      </c>
      <c r="G245" s="141"/>
      <c r="H245" s="3"/>
      <c r="I245" s="8"/>
    </row>
    <row r="246" spans="1:10" s="1" customFormat="1" ht="30" customHeight="1" x14ac:dyDescent="0.25">
      <c r="A246" s="212">
        <v>5</v>
      </c>
      <c r="B246" s="221" t="s">
        <v>405</v>
      </c>
      <c r="C246" s="223"/>
      <c r="D246" s="224"/>
      <c r="E246" s="225"/>
      <c r="F246" s="234"/>
      <c r="G246" s="141"/>
      <c r="H246" s="3"/>
      <c r="I246" s="8"/>
    </row>
    <row r="247" spans="1:10" s="1" customFormat="1" ht="30" customHeight="1" x14ac:dyDescent="0.25">
      <c r="A247" s="213" t="s">
        <v>99</v>
      </c>
      <c r="B247" s="220" t="s">
        <v>406</v>
      </c>
      <c r="C247" s="223" t="s">
        <v>136</v>
      </c>
      <c r="D247" s="224">
        <v>11.16</v>
      </c>
      <c r="E247" s="225"/>
      <c r="F247" s="234">
        <f>D247*E247</f>
        <v>0</v>
      </c>
      <c r="G247" s="141"/>
      <c r="H247" s="3"/>
      <c r="I247" s="8"/>
    </row>
    <row r="248" spans="1:10" s="1" customFormat="1" ht="30" customHeight="1" x14ac:dyDescent="0.25">
      <c r="A248" s="213">
        <v>2</v>
      </c>
      <c r="B248" s="220" t="s">
        <v>407</v>
      </c>
      <c r="C248" s="223" t="s">
        <v>363</v>
      </c>
      <c r="D248" s="224">
        <v>9.6300000000000008</v>
      </c>
      <c r="E248" s="225"/>
      <c r="F248" s="234">
        <f>D248*E248</f>
        <v>0</v>
      </c>
      <c r="G248" s="141"/>
      <c r="H248" s="3"/>
      <c r="I248" s="8"/>
    </row>
    <row r="249" spans="1:10" s="1" customFormat="1" ht="30" customHeight="1" x14ac:dyDescent="0.25">
      <c r="A249" s="163"/>
      <c r="B249" s="167" t="s">
        <v>408</v>
      </c>
      <c r="C249" s="163"/>
      <c r="D249" s="163"/>
      <c r="E249" s="163"/>
      <c r="F249" s="163">
        <f>SUM(F247:F248)</f>
        <v>0</v>
      </c>
      <c r="G249" s="139"/>
      <c r="H249" s="3"/>
      <c r="I249" s="8"/>
    </row>
    <row r="250" spans="1:10" s="1" customFormat="1" ht="30" customHeight="1" x14ac:dyDescent="0.25">
      <c r="A250" s="212">
        <v>6</v>
      </c>
      <c r="B250" s="221" t="s">
        <v>409</v>
      </c>
      <c r="C250" s="223"/>
      <c r="D250" s="224"/>
      <c r="E250" s="225"/>
      <c r="F250" s="234"/>
      <c r="G250" s="139"/>
      <c r="H250" s="3"/>
      <c r="I250" s="8"/>
    </row>
    <row r="251" spans="1:10" s="1" customFormat="1" ht="30" customHeight="1" x14ac:dyDescent="0.25">
      <c r="A251" s="213" t="s">
        <v>111</v>
      </c>
      <c r="B251" s="222" t="s">
        <v>410</v>
      </c>
      <c r="C251" s="223" t="s">
        <v>363</v>
      </c>
      <c r="D251" s="224">
        <v>4.2</v>
      </c>
      <c r="E251" s="225"/>
      <c r="F251" s="234">
        <f>D251*E251</f>
        <v>0</v>
      </c>
      <c r="G251" s="139"/>
      <c r="H251" s="3"/>
      <c r="I251" s="7"/>
      <c r="J251"/>
    </row>
    <row r="252" spans="1:10" ht="30" customHeight="1" x14ac:dyDescent="0.25">
      <c r="A252" s="163"/>
      <c r="B252" s="167" t="s">
        <v>411</v>
      </c>
      <c r="C252" s="163"/>
      <c r="D252" s="163"/>
      <c r="E252" s="163"/>
      <c r="F252" s="163">
        <f>F251</f>
        <v>0</v>
      </c>
    </row>
    <row r="253" spans="1:10" ht="30" customHeight="1" x14ac:dyDescent="0.25">
      <c r="A253" s="212">
        <v>7</v>
      </c>
      <c r="B253" s="221" t="s">
        <v>412</v>
      </c>
      <c r="C253" s="223"/>
      <c r="D253" s="224"/>
      <c r="E253" s="225"/>
      <c r="F253" s="234"/>
    </row>
    <row r="254" spans="1:10" ht="30" customHeight="1" x14ac:dyDescent="0.25">
      <c r="A254" s="213" t="s">
        <v>117</v>
      </c>
      <c r="B254" s="220" t="s">
        <v>413</v>
      </c>
      <c r="C254" s="223" t="s">
        <v>363</v>
      </c>
      <c r="D254" s="224">
        <v>43.45</v>
      </c>
      <c r="E254" s="225"/>
      <c r="F254" s="234">
        <f t="shared" ref="F254:F255" si="16">+D254*E254</f>
        <v>0</v>
      </c>
    </row>
    <row r="255" spans="1:10" ht="30" customHeight="1" x14ac:dyDescent="0.25">
      <c r="A255" s="213" t="s">
        <v>119</v>
      </c>
      <c r="B255" s="220" t="s">
        <v>414</v>
      </c>
      <c r="C255" s="223" t="s">
        <v>363</v>
      </c>
      <c r="D255" s="224">
        <v>12</v>
      </c>
      <c r="E255" s="225"/>
      <c r="F255" s="234">
        <f t="shared" si="16"/>
        <v>0</v>
      </c>
    </row>
    <row r="256" spans="1:10" ht="30" customHeight="1" x14ac:dyDescent="0.25">
      <c r="A256" s="163"/>
      <c r="B256" s="167" t="s">
        <v>415</v>
      </c>
      <c r="C256" s="163"/>
      <c r="D256" s="163"/>
      <c r="E256" s="163"/>
      <c r="F256" s="163">
        <f>SUM(F254:F255)</f>
        <v>0</v>
      </c>
    </row>
    <row r="257" spans="1:6" ht="30" customHeight="1" x14ac:dyDescent="0.25">
      <c r="A257" s="212">
        <v>8</v>
      </c>
      <c r="B257" s="221" t="s">
        <v>416</v>
      </c>
      <c r="C257" s="223"/>
      <c r="D257" s="224"/>
      <c r="E257" s="225"/>
      <c r="F257" s="234"/>
    </row>
    <row r="258" spans="1:6" ht="30" customHeight="1" x14ac:dyDescent="0.25">
      <c r="A258" s="213" t="s">
        <v>129</v>
      </c>
      <c r="B258" s="220" t="s">
        <v>417</v>
      </c>
      <c r="C258" s="223" t="s">
        <v>395</v>
      </c>
      <c r="D258" s="224">
        <v>2</v>
      </c>
      <c r="E258" s="225"/>
      <c r="F258" s="234">
        <f>D258*E258</f>
        <v>0</v>
      </c>
    </row>
    <row r="259" spans="1:6" ht="30" customHeight="1" x14ac:dyDescent="0.25">
      <c r="A259" s="213" t="s">
        <v>161</v>
      </c>
      <c r="B259" s="220" t="s">
        <v>418</v>
      </c>
      <c r="C259" s="223" t="s">
        <v>395</v>
      </c>
      <c r="D259" s="224">
        <v>2</v>
      </c>
      <c r="E259" s="225"/>
      <c r="F259" s="234">
        <f t="shared" ref="F259:F262" si="17">D259*E259</f>
        <v>0</v>
      </c>
    </row>
    <row r="260" spans="1:6" ht="30" customHeight="1" x14ac:dyDescent="0.25">
      <c r="A260" s="213" t="s">
        <v>419</v>
      </c>
      <c r="B260" s="217" t="s">
        <v>420</v>
      </c>
      <c r="C260" s="223" t="s">
        <v>395</v>
      </c>
      <c r="D260" s="224">
        <v>2</v>
      </c>
      <c r="E260" s="225"/>
      <c r="F260" s="234">
        <f t="shared" si="17"/>
        <v>0</v>
      </c>
    </row>
    <row r="261" spans="1:6" ht="30" customHeight="1" x14ac:dyDescent="0.25">
      <c r="A261" s="213" t="s">
        <v>421</v>
      </c>
      <c r="B261" s="217" t="s">
        <v>422</v>
      </c>
      <c r="C261" s="223" t="s">
        <v>136</v>
      </c>
      <c r="D261" s="224">
        <v>8.9</v>
      </c>
      <c r="E261" s="225"/>
      <c r="F261" s="234">
        <f t="shared" si="17"/>
        <v>0</v>
      </c>
    </row>
    <row r="262" spans="1:6" ht="30" customHeight="1" x14ac:dyDescent="0.25">
      <c r="A262" s="213" t="s">
        <v>423</v>
      </c>
      <c r="B262" s="217" t="s">
        <v>424</v>
      </c>
      <c r="C262" s="223" t="s">
        <v>136</v>
      </c>
      <c r="D262" s="224">
        <v>2.6</v>
      </c>
      <c r="E262" s="225"/>
      <c r="F262" s="234">
        <f t="shared" si="17"/>
        <v>0</v>
      </c>
    </row>
    <row r="263" spans="1:6" ht="30" customHeight="1" x14ac:dyDescent="0.25">
      <c r="A263" s="163"/>
      <c r="B263" s="167" t="s">
        <v>425</v>
      </c>
      <c r="C263" s="163"/>
      <c r="D263" s="163"/>
      <c r="E263" s="163"/>
      <c r="F263" s="163">
        <f>SUM(F258:F262)</f>
        <v>0</v>
      </c>
    </row>
    <row r="264" spans="1:6" ht="30" customHeight="1" x14ac:dyDescent="0.25">
      <c r="A264" s="212">
        <v>9</v>
      </c>
      <c r="B264" s="221" t="s">
        <v>426</v>
      </c>
      <c r="C264" s="213"/>
      <c r="D264" s="213"/>
      <c r="E264" s="233"/>
      <c r="F264" s="234"/>
    </row>
    <row r="265" spans="1:6" ht="30" customHeight="1" x14ac:dyDescent="0.25">
      <c r="A265" s="213" t="s">
        <v>211</v>
      </c>
      <c r="B265" s="220" t="s">
        <v>427</v>
      </c>
      <c r="C265" s="213" t="s">
        <v>17</v>
      </c>
      <c r="D265" s="213">
        <v>1.4</v>
      </c>
      <c r="E265" s="233"/>
      <c r="F265" s="234">
        <f>D265*E265</f>
        <v>0</v>
      </c>
    </row>
    <row r="266" spans="1:6" ht="30" customHeight="1" x14ac:dyDescent="0.25">
      <c r="A266" s="213" t="s">
        <v>213</v>
      </c>
      <c r="B266" s="220" t="s">
        <v>428</v>
      </c>
      <c r="C266" s="213" t="s">
        <v>85</v>
      </c>
      <c r="D266" s="213">
        <v>1</v>
      </c>
      <c r="E266" s="233"/>
      <c r="F266" s="234">
        <f t="shared" ref="F266:F275" si="18">D266*E266</f>
        <v>0</v>
      </c>
    </row>
    <row r="267" spans="1:6" ht="30" customHeight="1" x14ac:dyDescent="0.25">
      <c r="A267" s="213" t="s">
        <v>215</v>
      </c>
      <c r="B267" s="220" t="s">
        <v>429</v>
      </c>
      <c r="C267" s="213" t="s">
        <v>11</v>
      </c>
      <c r="D267" s="213">
        <v>1</v>
      </c>
      <c r="E267" s="233"/>
      <c r="F267" s="234">
        <f t="shared" si="18"/>
        <v>0</v>
      </c>
    </row>
    <row r="268" spans="1:6" ht="30" customHeight="1" x14ac:dyDescent="0.25">
      <c r="A268" s="213" t="s">
        <v>217</v>
      </c>
      <c r="B268" s="220" t="s">
        <v>430</v>
      </c>
      <c r="C268" s="213" t="s">
        <v>11</v>
      </c>
      <c r="D268" s="213">
        <v>1</v>
      </c>
      <c r="E268" s="233"/>
      <c r="F268" s="234">
        <f t="shared" si="18"/>
        <v>0</v>
      </c>
    </row>
    <row r="269" spans="1:6" ht="30" customHeight="1" x14ac:dyDescent="0.25">
      <c r="A269" s="213" t="s">
        <v>219</v>
      </c>
      <c r="B269" s="220" t="s">
        <v>431</v>
      </c>
      <c r="C269" s="213" t="s">
        <v>11</v>
      </c>
      <c r="D269" s="213">
        <v>1</v>
      </c>
      <c r="E269" s="233"/>
      <c r="F269" s="234">
        <f t="shared" si="18"/>
        <v>0</v>
      </c>
    </row>
    <row r="270" spans="1:6" ht="41.4" x14ac:dyDescent="0.25">
      <c r="A270" s="213" t="s">
        <v>221</v>
      </c>
      <c r="B270" s="220" t="s">
        <v>432</v>
      </c>
      <c r="C270" s="213" t="s">
        <v>17</v>
      </c>
      <c r="D270" s="213">
        <v>21.06</v>
      </c>
      <c r="E270" s="233"/>
      <c r="F270" s="234">
        <f t="shared" si="18"/>
        <v>0</v>
      </c>
    </row>
    <row r="271" spans="1:6" ht="41.4" x14ac:dyDescent="0.25">
      <c r="A271" s="213" t="s">
        <v>433</v>
      </c>
      <c r="B271" s="220" t="s">
        <v>434</v>
      </c>
      <c r="C271" s="213" t="s">
        <v>231</v>
      </c>
      <c r="D271" s="213">
        <v>1</v>
      </c>
      <c r="E271" s="233"/>
      <c r="F271" s="234">
        <f t="shared" si="18"/>
        <v>0</v>
      </c>
    </row>
    <row r="272" spans="1:6" ht="30" customHeight="1" x14ac:dyDescent="0.25">
      <c r="A272" s="213" t="s">
        <v>435</v>
      </c>
      <c r="B272" s="220" t="s">
        <v>436</v>
      </c>
      <c r="C272" s="213" t="s">
        <v>85</v>
      </c>
      <c r="D272" s="213">
        <v>3</v>
      </c>
      <c r="E272" s="233"/>
      <c r="F272" s="234">
        <f t="shared" si="18"/>
        <v>0</v>
      </c>
    </row>
    <row r="273" spans="1:6" ht="30" customHeight="1" x14ac:dyDescent="0.25">
      <c r="A273" s="213" t="s">
        <v>437</v>
      </c>
      <c r="B273" s="220" t="s">
        <v>438</v>
      </c>
      <c r="C273" s="213" t="s">
        <v>85</v>
      </c>
      <c r="D273" s="213">
        <v>3</v>
      </c>
      <c r="E273" s="233"/>
      <c r="F273" s="234">
        <f t="shared" si="18"/>
        <v>0</v>
      </c>
    </row>
    <row r="274" spans="1:6" ht="30" customHeight="1" x14ac:dyDescent="0.25">
      <c r="A274" s="213" t="s">
        <v>439</v>
      </c>
      <c r="B274" s="220" t="s">
        <v>440</v>
      </c>
      <c r="C274" s="213" t="s">
        <v>85</v>
      </c>
      <c r="D274" s="213">
        <v>3</v>
      </c>
      <c r="E274" s="233"/>
      <c r="F274" s="234">
        <f t="shared" si="18"/>
        <v>0</v>
      </c>
    </row>
    <row r="275" spans="1:6" ht="30" customHeight="1" x14ac:dyDescent="0.25">
      <c r="A275" s="213" t="s">
        <v>441</v>
      </c>
      <c r="B275" s="220" t="s">
        <v>442</v>
      </c>
      <c r="C275" s="213" t="s">
        <v>85</v>
      </c>
      <c r="D275" s="213">
        <v>3</v>
      </c>
      <c r="E275" s="233"/>
      <c r="F275" s="234">
        <f t="shared" si="18"/>
        <v>0</v>
      </c>
    </row>
    <row r="276" spans="1:6" ht="30" customHeight="1" x14ac:dyDescent="0.25">
      <c r="A276" s="163"/>
      <c r="B276" s="167" t="s">
        <v>443</v>
      </c>
      <c r="C276" s="163"/>
      <c r="D276" s="163"/>
      <c r="E276" s="163"/>
      <c r="F276" s="163">
        <f>SUM(F265:F275)</f>
        <v>0</v>
      </c>
    </row>
    <row r="277" spans="1:6" ht="30" customHeight="1" x14ac:dyDescent="0.25">
      <c r="A277" s="214">
        <v>10</v>
      </c>
      <c r="B277" s="219" t="s">
        <v>444</v>
      </c>
      <c r="C277" s="214"/>
      <c r="D277" s="226"/>
      <c r="E277" s="227"/>
      <c r="F277" s="235"/>
    </row>
    <row r="278" spans="1:6" ht="30" customHeight="1" x14ac:dyDescent="0.25">
      <c r="A278" s="223" t="s">
        <v>225</v>
      </c>
      <c r="B278" s="217" t="s">
        <v>377</v>
      </c>
      <c r="C278" s="223" t="s">
        <v>367</v>
      </c>
      <c r="D278" s="230">
        <v>0.14299999999999999</v>
      </c>
      <c r="E278" s="225"/>
      <c r="F278" s="234">
        <f>D278*E278</f>
        <v>0</v>
      </c>
    </row>
    <row r="279" spans="1:6" ht="30" customHeight="1" x14ac:dyDescent="0.25">
      <c r="A279" s="223" t="s">
        <v>266</v>
      </c>
      <c r="B279" s="217" t="s">
        <v>445</v>
      </c>
      <c r="C279" s="223" t="s">
        <v>367</v>
      </c>
      <c r="D279" s="224">
        <v>0.56999999999999995</v>
      </c>
      <c r="E279" s="225"/>
      <c r="F279" s="234">
        <f t="shared" ref="F279:F287" si="19">D279*E279</f>
        <v>0</v>
      </c>
    </row>
    <row r="280" spans="1:6" ht="30" customHeight="1" x14ac:dyDescent="0.25">
      <c r="A280" s="223" t="s">
        <v>274</v>
      </c>
      <c r="B280" s="217" t="s">
        <v>446</v>
      </c>
      <c r="C280" s="223" t="s">
        <v>363</v>
      </c>
      <c r="D280" s="224">
        <v>1.9</v>
      </c>
      <c r="E280" s="225"/>
      <c r="F280" s="234">
        <f t="shared" si="19"/>
        <v>0</v>
      </c>
    </row>
    <row r="281" spans="1:6" ht="30" customHeight="1" x14ac:dyDescent="0.25">
      <c r="A281" s="223" t="s">
        <v>286</v>
      </c>
      <c r="B281" s="217" t="s">
        <v>447</v>
      </c>
      <c r="C281" s="223" t="s">
        <v>363</v>
      </c>
      <c r="D281" s="224">
        <v>8.32</v>
      </c>
      <c r="E281" s="225"/>
      <c r="F281" s="234">
        <f t="shared" si="19"/>
        <v>0</v>
      </c>
    </row>
    <row r="282" spans="1:6" ht="30" customHeight="1" x14ac:dyDescent="0.25">
      <c r="A282" s="223" t="s">
        <v>294</v>
      </c>
      <c r="B282" s="217" t="s">
        <v>448</v>
      </c>
      <c r="C282" s="223" t="s">
        <v>17</v>
      </c>
      <c r="D282" s="224">
        <v>6</v>
      </c>
      <c r="E282" s="225"/>
      <c r="F282" s="234">
        <f t="shared" si="19"/>
        <v>0</v>
      </c>
    </row>
    <row r="283" spans="1:6" ht="30" customHeight="1" x14ac:dyDescent="0.25">
      <c r="A283" s="223" t="s">
        <v>449</v>
      </c>
      <c r="B283" s="217" t="s">
        <v>450</v>
      </c>
      <c r="C283" s="223" t="s">
        <v>363</v>
      </c>
      <c r="D283" s="231">
        <v>3.75</v>
      </c>
      <c r="E283" s="225"/>
      <c r="F283" s="234">
        <f t="shared" si="19"/>
        <v>0</v>
      </c>
    </row>
    <row r="284" spans="1:6" ht="30" customHeight="1" x14ac:dyDescent="0.25">
      <c r="A284" s="223" t="s">
        <v>451</v>
      </c>
      <c r="B284" s="217" t="s">
        <v>452</v>
      </c>
      <c r="C284" s="223" t="s">
        <v>363</v>
      </c>
      <c r="D284" s="231">
        <v>17.760000000000002</v>
      </c>
      <c r="E284" s="225"/>
      <c r="F284" s="234">
        <f t="shared" si="19"/>
        <v>0</v>
      </c>
    </row>
    <row r="285" spans="1:6" ht="30" customHeight="1" x14ac:dyDescent="0.25">
      <c r="A285" s="223" t="s">
        <v>453</v>
      </c>
      <c r="B285" s="220" t="s">
        <v>454</v>
      </c>
      <c r="C285" s="213" t="s">
        <v>231</v>
      </c>
      <c r="D285" s="213">
        <v>1</v>
      </c>
      <c r="E285" s="206"/>
      <c r="F285" s="234">
        <f t="shared" si="19"/>
        <v>0</v>
      </c>
    </row>
    <row r="286" spans="1:6" ht="30" customHeight="1" x14ac:dyDescent="0.25">
      <c r="A286" s="223" t="s">
        <v>455</v>
      </c>
      <c r="B286" s="217" t="s">
        <v>456</v>
      </c>
      <c r="C286" s="223" t="s">
        <v>231</v>
      </c>
      <c r="D286" s="231">
        <v>1</v>
      </c>
      <c r="E286" s="225"/>
      <c r="F286" s="234">
        <f t="shared" si="19"/>
        <v>0</v>
      </c>
    </row>
    <row r="287" spans="1:6" ht="30" customHeight="1" x14ac:dyDescent="0.25">
      <c r="A287" s="223" t="s">
        <v>457</v>
      </c>
      <c r="B287" s="217" t="s">
        <v>458</v>
      </c>
      <c r="C287" s="223" t="s">
        <v>367</v>
      </c>
      <c r="D287" s="231">
        <v>0.56999999999999995</v>
      </c>
      <c r="E287" s="225"/>
      <c r="F287" s="234">
        <f t="shared" si="19"/>
        <v>0</v>
      </c>
    </row>
    <row r="288" spans="1:6" ht="30" customHeight="1" x14ac:dyDescent="0.25">
      <c r="A288" s="163"/>
      <c r="B288" s="167" t="s">
        <v>459</v>
      </c>
      <c r="C288" s="163"/>
      <c r="D288" s="163"/>
      <c r="E288" s="163"/>
      <c r="F288" s="163">
        <f>SUM(F278:F287)</f>
        <v>0</v>
      </c>
    </row>
    <row r="289" spans="1:6" ht="30" customHeight="1" x14ac:dyDescent="0.25">
      <c r="A289" s="251"/>
      <c r="B289" s="253" t="s">
        <v>460</v>
      </c>
      <c r="C289" s="251"/>
      <c r="D289" s="251"/>
      <c r="E289" s="251"/>
      <c r="F289" s="252">
        <f>F288+F276+F263+F256+F252+F249+F245+F241+F231+F222</f>
        <v>0</v>
      </c>
    </row>
    <row r="290" spans="1:6" ht="30" customHeight="1" x14ac:dyDescent="0.25">
      <c r="A290" s="213"/>
      <c r="B290" s="213"/>
      <c r="C290" s="213"/>
      <c r="D290" s="255"/>
      <c r="E290" s="213"/>
      <c r="F290" s="213"/>
    </row>
    <row r="291" spans="1:6" ht="30" customHeight="1" x14ac:dyDescent="0.25">
      <c r="A291" s="254"/>
      <c r="B291" s="257" t="s">
        <v>461</v>
      </c>
      <c r="C291" s="254"/>
      <c r="D291" s="256"/>
      <c r="E291" s="254"/>
      <c r="F291" s="258">
        <f>F289+F211+F177</f>
        <v>0</v>
      </c>
    </row>
  </sheetData>
  <mergeCells count="3">
    <mergeCell ref="B2:F2"/>
    <mergeCell ref="B179:F179"/>
    <mergeCell ref="B213:F213"/>
  </mergeCells>
  <phoneticPr fontId="26" type="noConversion"/>
  <pageMargins left="1.0900000000000001" right="0.54" top="0.81" bottom="0.5500000000000000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zoomScale="120" zoomScaleNormal="120" workbookViewId="0">
      <selection activeCell="C11" sqref="C11"/>
    </sheetView>
  </sheetViews>
  <sheetFormatPr baseColWidth="10" defaultColWidth="11.44140625" defaultRowHeight="13.2" x14ac:dyDescent="0.25"/>
  <sheetData>
    <row r="1" spans="1:9" ht="17.399999999999999" x14ac:dyDescent="0.25">
      <c r="A1" s="111" t="s">
        <v>0</v>
      </c>
      <c r="B1" s="112" t="s">
        <v>462</v>
      </c>
      <c r="C1" s="112" t="s">
        <v>463</v>
      </c>
      <c r="D1" s="116" t="s">
        <v>464</v>
      </c>
      <c r="E1" s="116" t="s">
        <v>465</v>
      </c>
      <c r="F1" s="116" t="s">
        <v>466</v>
      </c>
      <c r="G1" s="116" t="s">
        <v>467</v>
      </c>
      <c r="H1" s="116" t="s">
        <v>468</v>
      </c>
      <c r="I1" s="116" t="s">
        <v>469</v>
      </c>
    </row>
    <row r="2" spans="1:9" ht="17.399999999999999" x14ac:dyDescent="0.3">
      <c r="A2" s="111">
        <v>1</v>
      </c>
      <c r="B2" s="114" t="s">
        <v>470</v>
      </c>
      <c r="C2" s="114">
        <v>24</v>
      </c>
      <c r="D2" s="110">
        <f>0.68*8*0.222*C2</f>
        <v>28.984320000000004</v>
      </c>
      <c r="E2" s="110"/>
      <c r="F2" s="110">
        <f>1.04*6*0.617*C2</f>
        <v>92.401920000000004</v>
      </c>
      <c r="G2" s="110"/>
      <c r="H2" s="110"/>
      <c r="I2" s="110"/>
    </row>
    <row r="3" spans="1:9" ht="17.399999999999999" x14ac:dyDescent="0.3">
      <c r="A3" s="113">
        <v>2</v>
      </c>
      <c r="B3" s="114" t="s">
        <v>471</v>
      </c>
      <c r="C3" s="114">
        <v>34</v>
      </c>
      <c r="D3" s="110">
        <f>0.68*8*0.222*C3</f>
        <v>41.061120000000003</v>
      </c>
      <c r="E3" s="110"/>
      <c r="F3" s="110">
        <f>1.24*10*0.617*C3</f>
        <v>260.12720000000002</v>
      </c>
      <c r="G3" s="110"/>
      <c r="H3" s="110"/>
      <c r="I3" s="110"/>
    </row>
    <row r="4" spans="1:9" ht="17.399999999999999" x14ac:dyDescent="0.3">
      <c r="A4" s="111">
        <v>3</v>
      </c>
      <c r="B4" s="114" t="s">
        <v>472</v>
      </c>
      <c r="C4" s="114">
        <v>10</v>
      </c>
      <c r="D4" s="110">
        <f>0.68*16*0.222*C4</f>
        <v>24.153600000000001</v>
      </c>
      <c r="E4" s="110"/>
      <c r="F4" s="110">
        <f>1.24*16*0.617*C4</f>
        <v>122.4128</v>
      </c>
      <c r="G4" s="110"/>
      <c r="H4" s="110"/>
      <c r="I4" s="110"/>
    </row>
    <row r="5" spans="1:9" ht="17.399999999999999" x14ac:dyDescent="0.25">
      <c r="A5" s="264" t="s">
        <v>473</v>
      </c>
      <c r="B5" s="265"/>
      <c r="C5" s="115"/>
      <c r="D5" s="117">
        <f>SUM(D2:D4)</f>
        <v>94.199040000000011</v>
      </c>
      <c r="E5" s="117"/>
      <c r="F5" s="117">
        <f>SUM(F2:F4)</f>
        <v>474.94192000000004</v>
      </c>
      <c r="G5" s="117"/>
      <c r="H5" s="117"/>
      <c r="I5" s="117"/>
    </row>
    <row r="11" spans="1:9" x14ac:dyDescent="0.25">
      <c r="C11">
        <f>+C2+C3+C4+12</f>
        <v>80</v>
      </c>
    </row>
  </sheetData>
  <mergeCells count="1">
    <mergeCell ref="A5:B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9"/>
  <sheetViews>
    <sheetView view="pageBreakPreview" topLeftCell="B1" zoomScaleNormal="100" zoomScaleSheetLayoutView="100" workbookViewId="0">
      <selection activeCell="L19" sqref="L19"/>
    </sheetView>
  </sheetViews>
  <sheetFormatPr baseColWidth="10" defaultColWidth="11.44140625" defaultRowHeight="13.2" x14ac:dyDescent="0.25"/>
  <cols>
    <col min="1" max="1" width="37.44140625" customWidth="1"/>
    <col min="2" max="2" width="42.109375" style="14" customWidth="1"/>
    <col min="3" max="3" width="39.109375" style="14" customWidth="1"/>
    <col min="4" max="4" width="13.44140625" style="14" customWidth="1"/>
    <col min="5" max="5" width="15.109375" style="14" customWidth="1"/>
    <col min="6" max="6" width="14.44140625" style="14" customWidth="1"/>
    <col min="7" max="7" width="13.44140625" style="14" customWidth="1"/>
    <col min="8" max="9" width="15.5546875" style="14" bestFit="1" customWidth="1"/>
    <col min="10" max="10" width="15.88671875" style="14" customWidth="1"/>
    <col min="11" max="11" width="15.5546875" style="14" customWidth="1"/>
    <col min="12" max="12" width="14.5546875" style="14" customWidth="1"/>
    <col min="14" max="14" width="19.109375" bestFit="1" customWidth="1"/>
    <col min="258" max="258" width="27.109375" customWidth="1"/>
    <col min="259" max="259" width="29.88671875" customWidth="1"/>
    <col min="260" max="260" width="15.109375" customWidth="1"/>
    <col min="261" max="261" width="12.44140625" customWidth="1"/>
    <col min="262" max="262" width="13.44140625" customWidth="1"/>
    <col min="263" max="263" width="15.5546875" bestFit="1" customWidth="1"/>
    <col min="264" max="264" width="14.109375" bestFit="1" customWidth="1"/>
    <col min="270" max="270" width="19.109375" bestFit="1" customWidth="1"/>
    <col min="514" max="514" width="27.109375" customWidth="1"/>
    <col min="515" max="515" width="29.88671875" customWidth="1"/>
    <col min="516" max="516" width="15.109375" customWidth="1"/>
    <col min="517" max="517" width="12.44140625" customWidth="1"/>
    <col min="518" max="518" width="13.44140625" customWidth="1"/>
    <col min="519" max="519" width="15.5546875" bestFit="1" customWidth="1"/>
    <col min="520" max="520" width="14.109375" bestFit="1" customWidth="1"/>
    <col min="526" max="526" width="19.109375" bestFit="1" customWidth="1"/>
    <col min="770" max="770" width="27.109375" customWidth="1"/>
    <col min="771" max="771" width="29.88671875" customWidth="1"/>
    <col min="772" max="772" width="15.109375" customWidth="1"/>
    <col min="773" max="773" width="12.44140625" customWidth="1"/>
    <col min="774" max="774" width="13.44140625" customWidth="1"/>
    <col min="775" max="775" width="15.5546875" bestFit="1" customWidth="1"/>
    <col min="776" max="776" width="14.109375" bestFit="1" customWidth="1"/>
    <col min="782" max="782" width="19.109375" bestFit="1" customWidth="1"/>
    <col min="1026" max="1026" width="27.109375" customWidth="1"/>
    <col min="1027" max="1027" width="29.88671875" customWidth="1"/>
    <col min="1028" max="1028" width="15.109375" customWidth="1"/>
    <col min="1029" max="1029" width="12.44140625" customWidth="1"/>
    <col min="1030" max="1030" width="13.44140625" customWidth="1"/>
    <col min="1031" max="1031" width="15.5546875" bestFit="1" customWidth="1"/>
    <col min="1032" max="1032" width="14.109375" bestFit="1" customWidth="1"/>
    <col min="1038" max="1038" width="19.109375" bestFit="1" customWidth="1"/>
    <col min="1282" max="1282" width="27.109375" customWidth="1"/>
    <col min="1283" max="1283" width="29.88671875" customWidth="1"/>
    <col min="1284" max="1284" width="15.109375" customWidth="1"/>
    <col min="1285" max="1285" width="12.44140625" customWidth="1"/>
    <col min="1286" max="1286" width="13.44140625" customWidth="1"/>
    <col min="1287" max="1287" width="15.5546875" bestFit="1" customWidth="1"/>
    <col min="1288" max="1288" width="14.109375" bestFit="1" customWidth="1"/>
    <col min="1294" max="1294" width="19.109375" bestFit="1" customWidth="1"/>
    <col min="1538" max="1538" width="27.109375" customWidth="1"/>
    <col min="1539" max="1539" width="29.88671875" customWidth="1"/>
    <col min="1540" max="1540" width="15.109375" customWidth="1"/>
    <col min="1541" max="1541" width="12.44140625" customWidth="1"/>
    <col min="1542" max="1542" width="13.44140625" customWidth="1"/>
    <col min="1543" max="1543" width="15.5546875" bestFit="1" customWidth="1"/>
    <col min="1544" max="1544" width="14.109375" bestFit="1" customWidth="1"/>
    <col min="1550" max="1550" width="19.109375" bestFit="1" customWidth="1"/>
    <col min="1794" max="1794" width="27.109375" customWidth="1"/>
    <col min="1795" max="1795" width="29.88671875" customWidth="1"/>
    <col min="1796" max="1796" width="15.109375" customWidth="1"/>
    <col min="1797" max="1797" width="12.44140625" customWidth="1"/>
    <col min="1798" max="1798" width="13.44140625" customWidth="1"/>
    <col min="1799" max="1799" width="15.5546875" bestFit="1" customWidth="1"/>
    <col min="1800" max="1800" width="14.109375" bestFit="1" customWidth="1"/>
    <col min="1806" max="1806" width="19.109375" bestFit="1" customWidth="1"/>
    <col min="2050" max="2050" width="27.109375" customWidth="1"/>
    <col min="2051" max="2051" width="29.88671875" customWidth="1"/>
    <col min="2052" max="2052" width="15.109375" customWidth="1"/>
    <col min="2053" max="2053" width="12.44140625" customWidth="1"/>
    <col min="2054" max="2054" width="13.44140625" customWidth="1"/>
    <col min="2055" max="2055" width="15.5546875" bestFit="1" customWidth="1"/>
    <col min="2056" max="2056" width="14.109375" bestFit="1" customWidth="1"/>
    <col min="2062" max="2062" width="19.109375" bestFit="1" customWidth="1"/>
    <col min="2306" max="2306" width="27.109375" customWidth="1"/>
    <col min="2307" max="2307" width="29.88671875" customWidth="1"/>
    <col min="2308" max="2308" width="15.109375" customWidth="1"/>
    <col min="2309" max="2309" width="12.44140625" customWidth="1"/>
    <col min="2310" max="2310" width="13.44140625" customWidth="1"/>
    <col min="2311" max="2311" width="15.5546875" bestFit="1" customWidth="1"/>
    <col min="2312" max="2312" width="14.109375" bestFit="1" customWidth="1"/>
    <col min="2318" max="2318" width="19.109375" bestFit="1" customWidth="1"/>
    <col min="2562" max="2562" width="27.109375" customWidth="1"/>
    <col min="2563" max="2563" width="29.88671875" customWidth="1"/>
    <col min="2564" max="2564" width="15.109375" customWidth="1"/>
    <col min="2565" max="2565" width="12.44140625" customWidth="1"/>
    <col min="2566" max="2566" width="13.44140625" customWidth="1"/>
    <col min="2567" max="2567" width="15.5546875" bestFit="1" customWidth="1"/>
    <col min="2568" max="2568" width="14.109375" bestFit="1" customWidth="1"/>
    <col min="2574" max="2574" width="19.109375" bestFit="1" customWidth="1"/>
    <col min="2818" max="2818" width="27.109375" customWidth="1"/>
    <col min="2819" max="2819" width="29.88671875" customWidth="1"/>
    <col min="2820" max="2820" width="15.109375" customWidth="1"/>
    <col min="2821" max="2821" width="12.44140625" customWidth="1"/>
    <col min="2822" max="2822" width="13.44140625" customWidth="1"/>
    <col min="2823" max="2823" width="15.5546875" bestFit="1" customWidth="1"/>
    <col min="2824" max="2824" width="14.109375" bestFit="1" customWidth="1"/>
    <col min="2830" max="2830" width="19.109375" bestFit="1" customWidth="1"/>
    <col min="3074" max="3074" width="27.109375" customWidth="1"/>
    <col min="3075" max="3075" width="29.88671875" customWidth="1"/>
    <col min="3076" max="3076" width="15.109375" customWidth="1"/>
    <col min="3077" max="3077" width="12.44140625" customWidth="1"/>
    <col min="3078" max="3078" width="13.44140625" customWidth="1"/>
    <col min="3079" max="3079" width="15.5546875" bestFit="1" customWidth="1"/>
    <col min="3080" max="3080" width="14.109375" bestFit="1" customWidth="1"/>
    <col min="3086" max="3086" width="19.109375" bestFit="1" customWidth="1"/>
    <col min="3330" max="3330" width="27.109375" customWidth="1"/>
    <col min="3331" max="3331" width="29.88671875" customWidth="1"/>
    <col min="3332" max="3332" width="15.109375" customWidth="1"/>
    <col min="3333" max="3333" width="12.44140625" customWidth="1"/>
    <col min="3334" max="3334" width="13.44140625" customWidth="1"/>
    <col min="3335" max="3335" width="15.5546875" bestFit="1" customWidth="1"/>
    <col min="3336" max="3336" width="14.109375" bestFit="1" customWidth="1"/>
    <col min="3342" max="3342" width="19.109375" bestFit="1" customWidth="1"/>
    <col min="3586" max="3586" width="27.109375" customWidth="1"/>
    <col min="3587" max="3587" width="29.88671875" customWidth="1"/>
    <col min="3588" max="3588" width="15.109375" customWidth="1"/>
    <col min="3589" max="3589" width="12.44140625" customWidth="1"/>
    <col min="3590" max="3590" width="13.44140625" customWidth="1"/>
    <col min="3591" max="3591" width="15.5546875" bestFit="1" customWidth="1"/>
    <col min="3592" max="3592" width="14.109375" bestFit="1" customWidth="1"/>
    <col min="3598" max="3598" width="19.109375" bestFit="1" customWidth="1"/>
    <col min="3842" max="3842" width="27.109375" customWidth="1"/>
    <col min="3843" max="3843" width="29.88671875" customWidth="1"/>
    <col min="3844" max="3844" width="15.109375" customWidth="1"/>
    <col min="3845" max="3845" width="12.44140625" customWidth="1"/>
    <col min="3846" max="3846" width="13.44140625" customWidth="1"/>
    <col min="3847" max="3847" width="15.5546875" bestFit="1" customWidth="1"/>
    <col min="3848" max="3848" width="14.109375" bestFit="1" customWidth="1"/>
    <col min="3854" max="3854" width="19.109375" bestFit="1" customWidth="1"/>
    <col min="4098" max="4098" width="27.109375" customWidth="1"/>
    <col min="4099" max="4099" width="29.88671875" customWidth="1"/>
    <col min="4100" max="4100" width="15.109375" customWidth="1"/>
    <col min="4101" max="4101" width="12.44140625" customWidth="1"/>
    <col min="4102" max="4102" width="13.44140625" customWidth="1"/>
    <col min="4103" max="4103" width="15.5546875" bestFit="1" customWidth="1"/>
    <col min="4104" max="4104" width="14.109375" bestFit="1" customWidth="1"/>
    <col min="4110" max="4110" width="19.109375" bestFit="1" customWidth="1"/>
    <col min="4354" max="4354" width="27.109375" customWidth="1"/>
    <col min="4355" max="4355" width="29.88671875" customWidth="1"/>
    <col min="4356" max="4356" width="15.109375" customWidth="1"/>
    <col min="4357" max="4357" width="12.44140625" customWidth="1"/>
    <col min="4358" max="4358" width="13.44140625" customWidth="1"/>
    <col min="4359" max="4359" width="15.5546875" bestFit="1" customWidth="1"/>
    <col min="4360" max="4360" width="14.109375" bestFit="1" customWidth="1"/>
    <col min="4366" max="4366" width="19.109375" bestFit="1" customWidth="1"/>
    <col min="4610" max="4610" width="27.109375" customWidth="1"/>
    <col min="4611" max="4611" width="29.88671875" customWidth="1"/>
    <col min="4612" max="4612" width="15.109375" customWidth="1"/>
    <col min="4613" max="4613" width="12.44140625" customWidth="1"/>
    <col min="4614" max="4614" width="13.44140625" customWidth="1"/>
    <col min="4615" max="4615" width="15.5546875" bestFit="1" customWidth="1"/>
    <col min="4616" max="4616" width="14.109375" bestFit="1" customWidth="1"/>
    <col min="4622" max="4622" width="19.109375" bestFit="1" customWidth="1"/>
    <col min="4866" max="4866" width="27.109375" customWidth="1"/>
    <col min="4867" max="4867" width="29.88671875" customWidth="1"/>
    <col min="4868" max="4868" width="15.109375" customWidth="1"/>
    <col min="4869" max="4869" width="12.44140625" customWidth="1"/>
    <col min="4870" max="4870" width="13.44140625" customWidth="1"/>
    <col min="4871" max="4871" width="15.5546875" bestFit="1" customWidth="1"/>
    <col min="4872" max="4872" width="14.109375" bestFit="1" customWidth="1"/>
    <col min="4878" max="4878" width="19.109375" bestFit="1" customWidth="1"/>
    <col min="5122" max="5122" width="27.109375" customWidth="1"/>
    <col min="5123" max="5123" width="29.88671875" customWidth="1"/>
    <col min="5124" max="5124" width="15.109375" customWidth="1"/>
    <col min="5125" max="5125" width="12.44140625" customWidth="1"/>
    <col min="5126" max="5126" width="13.44140625" customWidth="1"/>
    <col min="5127" max="5127" width="15.5546875" bestFit="1" customWidth="1"/>
    <col min="5128" max="5128" width="14.109375" bestFit="1" customWidth="1"/>
    <col min="5134" max="5134" width="19.109375" bestFit="1" customWidth="1"/>
    <col min="5378" max="5378" width="27.109375" customWidth="1"/>
    <col min="5379" max="5379" width="29.88671875" customWidth="1"/>
    <col min="5380" max="5380" width="15.109375" customWidth="1"/>
    <col min="5381" max="5381" width="12.44140625" customWidth="1"/>
    <col min="5382" max="5382" width="13.44140625" customWidth="1"/>
    <col min="5383" max="5383" width="15.5546875" bestFit="1" customWidth="1"/>
    <col min="5384" max="5384" width="14.109375" bestFit="1" customWidth="1"/>
    <col min="5390" max="5390" width="19.109375" bestFit="1" customWidth="1"/>
    <col min="5634" max="5634" width="27.109375" customWidth="1"/>
    <col min="5635" max="5635" width="29.88671875" customWidth="1"/>
    <col min="5636" max="5636" width="15.109375" customWidth="1"/>
    <col min="5637" max="5637" width="12.44140625" customWidth="1"/>
    <col min="5638" max="5638" width="13.44140625" customWidth="1"/>
    <col min="5639" max="5639" width="15.5546875" bestFit="1" customWidth="1"/>
    <col min="5640" max="5640" width="14.109375" bestFit="1" customWidth="1"/>
    <col min="5646" max="5646" width="19.109375" bestFit="1" customWidth="1"/>
    <col min="5890" max="5890" width="27.109375" customWidth="1"/>
    <col min="5891" max="5891" width="29.88671875" customWidth="1"/>
    <col min="5892" max="5892" width="15.109375" customWidth="1"/>
    <col min="5893" max="5893" width="12.44140625" customWidth="1"/>
    <col min="5894" max="5894" width="13.44140625" customWidth="1"/>
    <col min="5895" max="5895" width="15.5546875" bestFit="1" customWidth="1"/>
    <col min="5896" max="5896" width="14.109375" bestFit="1" customWidth="1"/>
    <col min="5902" max="5902" width="19.109375" bestFit="1" customWidth="1"/>
    <col min="6146" max="6146" width="27.109375" customWidth="1"/>
    <col min="6147" max="6147" width="29.88671875" customWidth="1"/>
    <col min="6148" max="6148" width="15.109375" customWidth="1"/>
    <col min="6149" max="6149" width="12.44140625" customWidth="1"/>
    <col min="6150" max="6150" width="13.44140625" customWidth="1"/>
    <col min="6151" max="6151" width="15.5546875" bestFit="1" customWidth="1"/>
    <col min="6152" max="6152" width="14.109375" bestFit="1" customWidth="1"/>
    <col min="6158" max="6158" width="19.109375" bestFit="1" customWidth="1"/>
    <col min="6402" max="6402" width="27.109375" customWidth="1"/>
    <col min="6403" max="6403" width="29.88671875" customWidth="1"/>
    <col min="6404" max="6404" width="15.109375" customWidth="1"/>
    <col min="6405" max="6405" width="12.44140625" customWidth="1"/>
    <col min="6406" max="6406" width="13.44140625" customWidth="1"/>
    <col min="6407" max="6407" width="15.5546875" bestFit="1" customWidth="1"/>
    <col min="6408" max="6408" width="14.109375" bestFit="1" customWidth="1"/>
    <col min="6414" max="6414" width="19.109375" bestFit="1" customWidth="1"/>
    <col min="6658" max="6658" width="27.109375" customWidth="1"/>
    <col min="6659" max="6659" width="29.88671875" customWidth="1"/>
    <col min="6660" max="6660" width="15.109375" customWidth="1"/>
    <col min="6661" max="6661" width="12.44140625" customWidth="1"/>
    <col min="6662" max="6662" width="13.44140625" customWidth="1"/>
    <col min="6663" max="6663" width="15.5546875" bestFit="1" customWidth="1"/>
    <col min="6664" max="6664" width="14.109375" bestFit="1" customWidth="1"/>
    <col min="6670" max="6670" width="19.109375" bestFit="1" customWidth="1"/>
    <col min="6914" max="6914" width="27.109375" customWidth="1"/>
    <col min="6915" max="6915" width="29.88671875" customWidth="1"/>
    <col min="6916" max="6916" width="15.109375" customWidth="1"/>
    <col min="6917" max="6917" width="12.44140625" customWidth="1"/>
    <col min="6918" max="6918" width="13.44140625" customWidth="1"/>
    <col min="6919" max="6919" width="15.5546875" bestFit="1" customWidth="1"/>
    <col min="6920" max="6920" width="14.109375" bestFit="1" customWidth="1"/>
    <col min="6926" max="6926" width="19.109375" bestFit="1" customWidth="1"/>
    <col min="7170" max="7170" width="27.109375" customWidth="1"/>
    <col min="7171" max="7171" width="29.88671875" customWidth="1"/>
    <col min="7172" max="7172" width="15.109375" customWidth="1"/>
    <col min="7173" max="7173" width="12.44140625" customWidth="1"/>
    <col min="7174" max="7174" width="13.44140625" customWidth="1"/>
    <col min="7175" max="7175" width="15.5546875" bestFit="1" customWidth="1"/>
    <col min="7176" max="7176" width="14.109375" bestFit="1" customWidth="1"/>
    <col min="7182" max="7182" width="19.109375" bestFit="1" customWidth="1"/>
    <col min="7426" max="7426" width="27.109375" customWidth="1"/>
    <col min="7427" max="7427" width="29.88671875" customWidth="1"/>
    <col min="7428" max="7428" width="15.109375" customWidth="1"/>
    <col min="7429" max="7429" width="12.44140625" customWidth="1"/>
    <col min="7430" max="7430" width="13.44140625" customWidth="1"/>
    <col min="7431" max="7431" width="15.5546875" bestFit="1" customWidth="1"/>
    <col min="7432" max="7432" width="14.109375" bestFit="1" customWidth="1"/>
    <col min="7438" max="7438" width="19.109375" bestFit="1" customWidth="1"/>
    <col min="7682" max="7682" width="27.109375" customWidth="1"/>
    <col min="7683" max="7683" width="29.88671875" customWidth="1"/>
    <col min="7684" max="7684" width="15.109375" customWidth="1"/>
    <col min="7685" max="7685" width="12.44140625" customWidth="1"/>
    <col min="7686" max="7686" width="13.44140625" customWidth="1"/>
    <col min="7687" max="7687" width="15.5546875" bestFit="1" customWidth="1"/>
    <col min="7688" max="7688" width="14.109375" bestFit="1" customWidth="1"/>
    <col min="7694" max="7694" width="19.109375" bestFit="1" customWidth="1"/>
    <col min="7938" max="7938" width="27.109375" customWidth="1"/>
    <col min="7939" max="7939" width="29.88671875" customWidth="1"/>
    <col min="7940" max="7940" width="15.109375" customWidth="1"/>
    <col min="7941" max="7941" width="12.44140625" customWidth="1"/>
    <col min="7942" max="7942" width="13.44140625" customWidth="1"/>
    <col min="7943" max="7943" width="15.5546875" bestFit="1" customWidth="1"/>
    <col min="7944" max="7944" width="14.109375" bestFit="1" customWidth="1"/>
    <col min="7950" max="7950" width="19.109375" bestFit="1" customWidth="1"/>
    <col min="8194" max="8194" width="27.109375" customWidth="1"/>
    <col min="8195" max="8195" width="29.88671875" customWidth="1"/>
    <col min="8196" max="8196" width="15.109375" customWidth="1"/>
    <col min="8197" max="8197" width="12.44140625" customWidth="1"/>
    <col min="8198" max="8198" width="13.44140625" customWidth="1"/>
    <col min="8199" max="8199" width="15.5546875" bestFit="1" customWidth="1"/>
    <col min="8200" max="8200" width="14.109375" bestFit="1" customWidth="1"/>
    <col min="8206" max="8206" width="19.109375" bestFit="1" customWidth="1"/>
    <col min="8450" max="8450" width="27.109375" customWidth="1"/>
    <col min="8451" max="8451" width="29.88671875" customWidth="1"/>
    <col min="8452" max="8452" width="15.109375" customWidth="1"/>
    <col min="8453" max="8453" width="12.44140625" customWidth="1"/>
    <col min="8454" max="8454" width="13.44140625" customWidth="1"/>
    <col min="8455" max="8455" width="15.5546875" bestFit="1" customWidth="1"/>
    <col min="8456" max="8456" width="14.109375" bestFit="1" customWidth="1"/>
    <col min="8462" max="8462" width="19.109375" bestFit="1" customWidth="1"/>
    <col min="8706" max="8706" width="27.109375" customWidth="1"/>
    <col min="8707" max="8707" width="29.88671875" customWidth="1"/>
    <col min="8708" max="8708" width="15.109375" customWidth="1"/>
    <col min="8709" max="8709" width="12.44140625" customWidth="1"/>
    <col min="8710" max="8710" width="13.44140625" customWidth="1"/>
    <col min="8711" max="8711" width="15.5546875" bestFit="1" customWidth="1"/>
    <col min="8712" max="8712" width="14.109375" bestFit="1" customWidth="1"/>
    <col min="8718" max="8718" width="19.109375" bestFit="1" customWidth="1"/>
    <col min="8962" max="8962" width="27.109375" customWidth="1"/>
    <col min="8963" max="8963" width="29.88671875" customWidth="1"/>
    <col min="8964" max="8964" width="15.109375" customWidth="1"/>
    <col min="8965" max="8965" width="12.44140625" customWidth="1"/>
    <col min="8966" max="8966" width="13.44140625" customWidth="1"/>
    <col min="8967" max="8967" width="15.5546875" bestFit="1" customWidth="1"/>
    <col min="8968" max="8968" width="14.109375" bestFit="1" customWidth="1"/>
    <col min="8974" max="8974" width="19.109375" bestFit="1" customWidth="1"/>
    <col min="9218" max="9218" width="27.109375" customWidth="1"/>
    <col min="9219" max="9219" width="29.88671875" customWidth="1"/>
    <col min="9220" max="9220" width="15.109375" customWidth="1"/>
    <col min="9221" max="9221" width="12.44140625" customWidth="1"/>
    <col min="9222" max="9222" width="13.44140625" customWidth="1"/>
    <col min="9223" max="9223" width="15.5546875" bestFit="1" customWidth="1"/>
    <col min="9224" max="9224" width="14.109375" bestFit="1" customWidth="1"/>
    <col min="9230" max="9230" width="19.109375" bestFit="1" customWidth="1"/>
    <col min="9474" max="9474" width="27.109375" customWidth="1"/>
    <col min="9475" max="9475" width="29.88671875" customWidth="1"/>
    <col min="9476" max="9476" width="15.109375" customWidth="1"/>
    <col min="9477" max="9477" width="12.44140625" customWidth="1"/>
    <col min="9478" max="9478" width="13.44140625" customWidth="1"/>
    <col min="9479" max="9479" width="15.5546875" bestFit="1" customWidth="1"/>
    <col min="9480" max="9480" width="14.109375" bestFit="1" customWidth="1"/>
    <col min="9486" max="9486" width="19.109375" bestFit="1" customWidth="1"/>
    <col min="9730" max="9730" width="27.109375" customWidth="1"/>
    <col min="9731" max="9731" width="29.88671875" customWidth="1"/>
    <col min="9732" max="9732" width="15.109375" customWidth="1"/>
    <col min="9733" max="9733" width="12.44140625" customWidth="1"/>
    <col min="9734" max="9734" width="13.44140625" customWidth="1"/>
    <col min="9735" max="9735" width="15.5546875" bestFit="1" customWidth="1"/>
    <col min="9736" max="9736" width="14.109375" bestFit="1" customWidth="1"/>
    <col min="9742" max="9742" width="19.109375" bestFit="1" customWidth="1"/>
    <col min="9986" max="9986" width="27.109375" customWidth="1"/>
    <col min="9987" max="9987" width="29.88671875" customWidth="1"/>
    <col min="9988" max="9988" width="15.109375" customWidth="1"/>
    <col min="9989" max="9989" width="12.44140625" customWidth="1"/>
    <col min="9990" max="9990" width="13.44140625" customWidth="1"/>
    <col min="9991" max="9991" width="15.5546875" bestFit="1" customWidth="1"/>
    <col min="9992" max="9992" width="14.109375" bestFit="1" customWidth="1"/>
    <col min="9998" max="9998" width="19.109375" bestFit="1" customWidth="1"/>
    <col min="10242" max="10242" width="27.109375" customWidth="1"/>
    <col min="10243" max="10243" width="29.88671875" customWidth="1"/>
    <col min="10244" max="10244" width="15.109375" customWidth="1"/>
    <col min="10245" max="10245" width="12.44140625" customWidth="1"/>
    <col min="10246" max="10246" width="13.44140625" customWidth="1"/>
    <col min="10247" max="10247" width="15.5546875" bestFit="1" customWidth="1"/>
    <col min="10248" max="10248" width="14.109375" bestFit="1" customWidth="1"/>
    <col min="10254" max="10254" width="19.109375" bestFit="1" customWidth="1"/>
    <col min="10498" max="10498" width="27.109375" customWidth="1"/>
    <col min="10499" max="10499" width="29.88671875" customWidth="1"/>
    <col min="10500" max="10500" width="15.109375" customWidth="1"/>
    <col min="10501" max="10501" width="12.44140625" customWidth="1"/>
    <col min="10502" max="10502" width="13.44140625" customWidth="1"/>
    <col min="10503" max="10503" width="15.5546875" bestFit="1" customWidth="1"/>
    <col min="10504" max="10504" width="14.109375" bestFit="1" customWidth="1"/>
    <col min="10510" max="10510" width="19.109375" bestFit="1" customWidth="1"/>
    <col min="10754" max="10754" width="27.109375" customWidth="1"/>
    <col min="10755" max="10755" width="29.88671875" customWidth="1"/>
    <col min="10756" max="10756" width="15.109375" customWidth="1"/>
    <col min="10757" max="10757" width="12.44140625" customWidth="1"/>
    <col min="10758" max="10758" width="13.44140625" customWidth="1"/>
    <col min="10759" max="10759" width="15.5546875" bestFit="1" customWidth="1"/>
    <col min="10760" max="10760" width="14.109375" bestFit="1" customWidth="1"/>
    <col min="10766" max="10766" width="19.109375" bestFit="1" customWidth="1"/>
    <col min="11010" max="11010" width="27.109375" customWidth="1"/>
    <col min="11011" max="11011" width="29.88671875" customWidth="1"/>
    <col min="11012" max="11012" width="15.109375" customWidth="1"/>
    <col min="11013" max="11013" width="12.44140625" customWidth="1"/>
    <col min="11014" max="11014" width="13.44140625" customWidth="1"/>
    <col min="11015" max="11015" width="15.5546875" bestFit="1" customWidth="1"/>
    <col min="11016" max="11016" width="14.109375" bestFit="1" customWidth="1"/>
    <col min="11022" max="11022" width="19.109375" bestFit="1" customWidth="1"/>
    <col min="11266" max="11266" width="27.109375" customWidth="1"/>
    <col min="11267" max="11267" width="29.88671875" customWidth="1"/>
    <col min="11268" max="11268" width="15.109375" customWidth="1"/>
    <col min="11269" max="11269" width="12.44140625" customWidth="1"/>
    <col min="11270" max="11270" width="13.44140625" customWidth="1"/>
    <col min="11271" max="11271" width="15.5546875" bestFit="1" customWidth="1"/>
    <col min="11272" max="11272" width="14.109375" bestFit="1" customWidth="1"/>
    <col min="11278" max="11278" width="19.109375" bestFit="1" customWidth="1"/>
    <col min="11522" max="11522" width="27.109375" customWidth="1"/>
    <col min="11523" max="11523" width="29.88671875" customWidth="1"/>
    <col min="11524" max="11524" width="15.109375" customWidth="1"/>
    <col min="11525" max="11525" width="12.44140625" customWidth="1"/>
    <col min="11526" max="11526" width="13.44140625" customWidth="1"/>
    <col min="11527" max="11527" width="15.5546875" bestFit="1" customWidth="1"/>
    <col min="11528" max="11528" width="14.109375" bestFit="1" customWidth="1"/>
    <col min="11534" max="11534" width="19.109375" bestFit="1" customWidth="1"/>
    <col min="11778" max="11778" width="27.109375" customWidth="1"/>
    <col min="11779" max="11779" width="29.88671875" customWidth="1"/>
    <col min="11780" max="11780" width="15.109375" customWidth="1"/>
    <col min="11781" max="11781" width="12.44140625" customWidth="1"/>
    <col min="11782" max="11782" width="13.44140625" customWidth="1"/>
    <col min="11783" max="11783" width="15.5546875" bestFit="1" customWidth="1"/>
    <col min="11784" max="11784" width="14.109375" bestFit="1" customWidth="1"/>
    <col min="11790" max="11790" width="19.109375" bestFit="1" customWidth="1"/>
    <col min="12034" max="12034" width="27.109375" customWidth="1"/>
    <col min="12035" max="12035" width="29.88671875" customWidth="1"/>
    <col min="12036" max="12036" width="15.109375" customWidth="1"/>
    <col min="12037" max="12037" width="12.44140625" customWidth="1"/>
    <col min="12038" max="12038" width="13.44140625" customWidth="1"/>
    <col min="12039" max="12039" width="15.5546875" bestFit="1" customWidth="1"/>
    <col min="12040" max="12040" width="14.109375" bestFit="1" customWidth="1"/>
    <col min="12046" max="12046" width="19.109375" bestFit="1" customWidth="1"/>
    <col min="12290" max="12290" width="27.109375" customWidth="1"/>
    <col min="12291" max="12291" width="29.88671875" customWidth="1"/>
    <col min="12292" max="12292" width="15.109375" customWidth="1"/>
    <col min="12293" max="12293" width="12.44140625" customWidth="1"/>
    <col min="12294" max="12294" width="13.44140625" customWidth="1"/>
    <col min="12295" max="12295" width="15.5546875" bestFit="1" customWidth="1"/>
    <col min="12296" max="12296" width="14.109375" bestFit="1" customWidth="1"/>
    <col min="12302" max="12302" width="19.109375" bestFit="1" customWidth="1"/>
    <col min="12546" max="12546" width="27.109375" customWidth="1"/>
    <col min="12547" max="12547" width="29.88671875" customWidth="1"/>
    <col min="12548" max="12548" width="15.109375" customWidth="1"/>
    <col min="12549" max="12549" width="12.44140625" customWidth="1"/>
    <col min="12550" max="12550" width="13.44140625" customWidth="1"/>
    <col min="12551" max="12551" width="15.5546875" bestFit="1" customWidth="1"/>
    <col min="12552" max="12552" width="14.109375" bestFit="1" customWidth="1"/>
    <col min="12558" max="12558" width="19.109375" bestFit="1" customWidth="1"/>
    <col min="12802" max="12802" width="27.109375" customWidth="1"/>
    <col min="12803" max="12803" width="29.88671875" customWidth="1"/>
    <col min="12804" max="12804" width="15.109375" customWidth="1"/>
    <col min="12805" max="12805" width="12.44140625" customWidth="1"/>
    <col min="12806" max="12806" width="13.44140625" customWidth="1"/>
    <col min="12807" max="12807" width="15.5546875" bestFit="1" customWidth="1"/>
    <col min="12808" max="12808" width="14.109375" bestFit="1" customWidth="1"/>
    <col min="12814" max="12814" width="19.109375" bestFit="1" customWidth="1"/>
    <col min="13058" max="13058" width="27.109375" customWidth="1"/>
    <col min="13059" max="13059" width="29.88671875" customWidth="1"/>
    <col min="13060" max="13060" width="15.109375" customWidth="1"/>
    <col min="13061" max="13061" width="12.44140625" customWidth="1"/>
    <col min="13062" max="13062" width="13.44140625" customWidth="1"/>
    <col min="13063" max="13063" width="15.5546875" bestFit="1" customWidth="1"/>
    <col min="13064" max="13064" width="14.109375" bestFit="1" customWidth="1"/>
    <col min="13070" max="13070" width="19.109375" bestFit="1" customWidth="1"/>
    <col min="13314" max="13314" width="27.109375" customWidth="1"/>
    <col min="13315" max="13315" width="29.88671875" customWidth="1"/>
    <col min="13316" max="13316" width="15.109375" customWidth="1"/>
    <col min="13317" max="13317" width="12.44140625" customWidth="1"/>
    <col min="13318" max="13318" width="13.44140625" customWidth="1"/>
    <col min="13319" max="13319" width="15.5546875" bestFit="1" customWidth="1"/>
    <col min="13320" max="13320" width="14.109375" bestFit="1" customWidth="1"/>
    <col min="13326" max="13326" width="19.109375" bestFit="1" customWidth="1"/>
    <col min="13570" max="13570" width="27.109375" customWidth="1"/>
    <col min="13571" max="13571" width="29.88671875" customWidth="1"/>
    <col min="13572" max="13572" width="15.109375" customWidth="1"/>
    <col min="13573" max="13573" width="12.44140625" customWidth="1"/>
    <col min="13574" max="13574" width="13.44140625" customWidth="1"/>
    <col min="13575" max="13575" width="15.5546875" bestFit="1" customWidth="1"/>
    <col min="13576" max="13576" width="14.109375" bestFit="1" customWidth="1"/>
    <col min="13582" max="13582" width="19.109375" bestFit="1" customWidth="1"/>
    <col min="13826" max="13826" width="27.109375" customWidth="1"/>
    <col min="13827" max="13827" width="29.88671875" customWidth="1"/>
    <col min="13828" max="13828" width="15.109375" customWidth="1"/>
    <col min="13829" max="13829" width="12.44140625" customWidth="1"/>
    <col min="13830" max="13830" width="13.44140625" customWidth="1"/>
    <col min="13831" max="13831" width="15.5546875" bestFit="1" customWidth="1"/>
    <col min="13832" max="13832" width="14.109375" bestFit="1" customWidth="1"/>
    <col min="13838" max="13838" width="19.109375" bestFit="1" customWidth="1"/>
    <col min="14082" max="14082" width="27.109375" customWidth="1"/>
    <col min="14083" max="14083" width="29.88671875" customWidth="1"/>
    <col min="14084" max="14084" width="15.109375" customWidth="1"/>
    <col min="14085" max="14085" width="12.44140625" customWidth="1"/>
    <col min="14086" max="14086" width="13.44140625" customWidth="1"/>
    <col min="14087" max="14087" width="15.5546875" bestFit="1" customWidth="1"/>
    <col min="14088" max="14088" width="14.109375" bestFit="1" customWidth="1"/>
    <col min="14094" max="14094" width="19.109375" bestFit="1" customWidth="1"/>
    <col min="14338" max="14338" width="27.109375" customWidth="1"/>
    <col min="14339" max="14339" width="29.88671875" customWidth="1"/>
    <col min="14340" max="14340" width="15.109375" customWidth="1"/>
    <col min="14341" max="14341" width="12.44140625" customWidth="1"/>
    <col min="14342" max="14342" width="13.44140625" customWidth="1"/>
    <col min="14343" max="14343" width="15.5546875" bestFit="1" customWidth="1"/>
    <col min="14344" max="14344" width="14.109375" bestFit="1" customWidth="1"/>
    <col min="14350" max="14350" width="19.109375" bestFit="1" customWidth="1"/>
    <col min="14594" max="14594" width="27.109375" customWidth="1"/>
    <col min="14595" max="14595" width="29.88671875" customWidth="1"/>
    <col min="14596" max="14596" width="15.109375" customWidth="1"/>
    <col min="14597" max="14597" width="12.44140625" customWidth="1"/>
    <col min="14598" max="14598" width="13.44140625" customWidth="1"/>
    <col min="14599" max="14599" width="15.5546875" bestFit="1" customWidth="1"/>
    <col min="14600" max="14600" width="14.109375" bestFit="1" customWidth="1"/>
    <col min="14606" max="14606" width="19.109375" bestFit="1" customWidth="1"/>
    <col min="14850" max="14850" width="27.109375" customWidth="1"/>
    <col min="14851" max="14851" width="29.88671875" customWidth="1"/>
    <col min="14852" max="14852" width="15.109375" customWidth="1"/>
    <col min="14853" max="14853" width="12.44140625" customWidth="1"/>
    <col min="14854" max="14854" width="13.44140625" customWidth="1"/>
    <col min="14855" max="14855" width="15.5546875" bestFit="1" customWidth="1"/>
    <col min="14856" max="14856" width="14.109375" bestFit="1" customWidth="1"/>
    <col min="14862" max="14862" width="19.109375" bestFit="1" customWidth="1"/>
    <col min="15106" max="15106" width="27.109375" customWidth="1"/>
    <col min="15107" max="15107" width="29.88671875" customWidth="1"/>
    <col min="15108" max="15108" width="15.109375" customWidth="1"/>
    <col min="15109" max="15109" width="12.44140625" customWidth="1"/>
    <col min="15110" max="15110" width="13.44140625" customWidth="1"/>
    <col min="15111" max="15111" width="15.5546875" bestFit="1" customWidth="1"/>
    <col min="15112" max="15112" width="14.109375" bestFit="1" customWidth="1"/>
    <col min="15118" max="15118" width="19.109375" bestFit="1" customWidth="1"/>
    <col min="15362" max="15362" width="27.109375" customWidth="1"/>
    <col min="15363" max="15363" width="29.88671875" customWidth="1"/>
    <col min="15364" max="15364" width="15.109375" customWidth="1"/>
    <col min="15365" max="15365" width="12.44140625" customWidth="1"/>
    <col min="15366" max="15366" width="13.44140625" customWidth="1"/>
    <col min="15367" max="15367" width="15.5546875" bestFit="1" customWidth="1"/>
    <col min="15368" max="15368" width="14.109375" bestFit="1" customWidth="1"/>
    <col min="15374" max="15374" width="19.109375" bestFit="1" customWidth="1"/>
    <col min="15618" max="15618" width="27.109375" customWidth="1"/>
    <col min="15619" max="15619" width="29.88671875" customWidth="1"/>
    <col min="15620" max="15620" width="15.109375" customWidth="1"/>
    <col min="15621" max="15621" width="12.44140625" customWidth="1"/>
    <col min="15622" max="15622" width="13.44140625" customWidth="1"/>
    <col min="15623" max="15623" width="15.5546875" bestFit="1" customWidth="1"/>
    <col min="15624" max="15624" width="14.109375" bestFit="1" customWidth="1"/>
    <col min="15630" max="15630" width="19.109375" bestFit="1" customWidth="1"/>
    <col min="15874" max="15874" width="27.109375" customWidth="1"/>
    <col min="15875" max="15875" width="29.88671875" customWidth="1"/>
    <col min="15876" max="15876" width="15.109375" customWidth="1"/>
    <col min="15877" max="15877" width="12.44140625" customWidth="1"/>
    <col min="15878" max="15878" width="13.44140625" customWidth="1"/>
    <col min="15879" max="15879" width="15.5546875" bestFit="1" customWidth="1"/>
    <col min="15880" max="15880" width="14.109375" bestFit="1" customWidth="1"/>
    <col min="15886" max="15886" width="19.109375" bestFit="1" customWidth="1"/>
    <col min="16130" max="16130" width="27.109375" customWidth="1"/>
    <col min="16131" max="16131" width="29.88671875" customWidth="1"/>
    <col min="16132" max="16132" width="15.109375" customWidth="1"/>
    <col min="16133" max="16133" width="12.44140625" customWidth="1"/>
    <col min="16134" max="16134" width="13.44140625" customWidth="1"/>
    <col min="16135" max="16135" width="15.5546875" bestFit="1" customWidth="1"/>
    <col min="16136" max="16136" width="14.109375" bestFit="1" customWidth="1"/>
    <col min="16142" max="16142" width="19.109375" bestFit="1" customWidth="1"/>
  </cols>
  <sheetData>
    <row r="1" spans="1:12" ht="31.8" x14ac:dyDescent="0.5"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x14ac:dyDescent="0.25">
      <c r="B2" s="267" t="s">
        <v>474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3.8" thickBot="1" x14ac:dyDescent="0.3">
      <c r="B3" s="13"/>
      <c r="C3" s="13"/>
      <c r="D3" s="13"/>
      <c r="E3" s="13"/>
      <c r="F3" s="13"/>
      <c r="G3" s="13"/>
      <c r="H3" s="13"/>
      <c r="I3" s="13"/>
      <c r="J3" s="13"/>
    </row>
    <row r="4" spans="1:12" ht="24.75" customHeight="1" thickTop="1" x14ac:dyDescent="0.25">
      <c r="A4" s="268" t="s">
        <v>475</v>
      </c>
      <c r="B4" s="268" t="s">
        <v>476</v>
      </c>
      <c r="C4" s="270" t="s">
        <v>477</v>
      </c>
      <c r="D4" s="15" t="s">
        <v>478</v>
      </c>
      <c r="E4" s="272" t="s">
        <v>479</v>
      </c>
      <c r="F4" s="273"/>
      <c r="G4" s="273"/>
      <c r="H4" s="273"/>
      <c r="I4" s="273"/>
      <c r="J4" s="16" t="s">
        <v>480</v>
      </c>
      <c r="K4" s="17" t="s">
        <v>481</v>
      </c>
      <c r="L4" s="18" t="s">
        <v>482</v>
      </c>
    </row>
    <row r="5" spans="1:12" ht="15.6" x14ac:dyDescent="0.3">
      <c r="A5" s="269"/>
      <c r="B5" s="269"/>
      <c r="C5" s="271"/>
      <c r="D5" s="19" t="s">
        <v>367</v>
      </c>
      <c r="E5" s="20" t="s">
        <v>464</v>
      </c>
      <c r="F5" s="21" t="s">
        <v>465</v>
      </c>
      <c r="G5" s="21" t="s">
        <v>466</v>
      </c>
      <c r="H5" s="22" t="s">
        <v>467</v>
      </c>
      <c r="I5" s="23" t="s">
        <v>468</v>
      </c>
      <c r="J5" s="24" t="s">
        <v>483</v>
      </c>
      <c r="K5" s="25" t="s">
        <v>367</v>
      </c>
      <c r="L5" s="26" t="s">
        <v>367</v>
      </c>
    </row>
    <row r="6" spans="1:12" ht="15" x14ac:dyDescent="0.25">
      <c r="A6" s="274" t="s">
        <v>484</v>
      </c>
      <c r="B6" s="277" t="s">
        <v>485</v>
      </c>
      <c r="C6" s="27" t="s">
        <v>486</v>
      </c>
      <c r="D6" s="28" t="e">
        <f>+#REF!</f>
        <v>#REF!</v>
      </c>
      <c r="F6" s="30"/>
      <c r="G6" s="121">
        <f>+Feuil3!F5</f>
        <v>474.94192000000004</v>
      </c>
      <c r="H6" s="30"/>
      <c r="I6" s="30"/>
      <c r="J6" s="123" t="e">
        <f>+D6*7/20</f>
        <v>#REF!</v>
      </c>
      <c r="K6" s="124" t="e">
        <f>+D6*0.4</f>
        <v>#REF!</v>
      </c>
      <c r="L6" s="125" t="e">
        <f>+D6*0.8</f>
        <v>#REF!</v>
      </c>
    </row>
    <row r="7" spans="1:12" ht="15" x14ac:dyDescent="0.25">
      <c r="A7" s="275"/>
      <c r="B7" s="278"/>
      <c r="C7" s="34" t="s">
        <v>487</v>
      </c>
      <c r="D7" s="35" t="e">
        <f>+#REF!</f>
        <v>#REF!</v>
      </c>
      <c r="E7" s="120">
        <f>7.45+142.6+373.84</f>
        <v>523.89</v>
      </c>
      <c r="F7" s="37">
        <f>17.2+96.3</f>
        <v>113.5</v>
      </c>
      <c r="G7" s="37">
        <f>218+1039</f>
        <v>1257</v>
      </c>
      <c r="H7" s="37"/>
      <c r="I7" s="38"/>
      <c r="J7" s="123" t="e">
        <f>+D7*7/20</f>
        <v>#REF!</v>
      </c>
      <c r="K7" s="124" t="e">
        <f t="shared" ref="K7:K9" si="0">+D7*0.4</f>
        <v>#REF!</v>
      </c>
      <c r="L7" s="125" t="e">
        <f t="shared" ref="L7:L9" si="1">+D7*0.8</f>
        <v>#REF!</v>
      </c>
    </row>
    <row r="8" spans="1:12" ht="14.25" customHeight="1" x14ac:dyDescent="0.25">
      <c r="A8" s="275"/>
      <c r="B8" s="278"/>
      <c r="C8" s="34" t="s">
        <v>488</v>
      </c>
      <c r="D8" s="108" t="e">
        <f>+#REF!</f>
        <v>#REF!</v>
      </c>
      <c r="E8" s="120">
        <f>+Feuil3!D5</f>
        <v>94.199040000000011</v>
      </c>
      <c r="F8" s="41"/>
      <c r="G8" s="41"/>
      <c r="H8" s="37">
        <f>100*2.02*4*0.888</f>
        <v>717.50400000000002</v>
      </c>
      <c r="I8" s="42"/>
      <c r="J8" s="123" t="e">
        <f t="shared" ref="J8:J9" si="2">+D8*7/20</f>
        <v>#REF!</v>
      </c>
      <c r="K8" s="124" t="e">
        <f t="shared" si="0"/>
        <v>#REF!</v>
      </c>
      <c r="L8" s="125" t="e">
        <f t="shared" si="1"/>
        <v>#REF!</v>
      </c>
    </row>
    <row r="9" spans="1:12" ht="15" x14ac:dyDescent="0.25">
      <c r="A9" s="275"/>
      <c r="B9" s="278"/>
      <c r="C9" s="27" t="s">
        <v>489</v>
      </c>
      <c r="D9" s="109" t="e">
        <f>+#REF!</f>
        <v>#REF!</v>
      </c>
      <c r="E9" s="105"/>
      <c r="F9" s="59">
        <v>2398.75</v>
      </c>
      <c r="G9" s="59" t="e">
        <f>+D9*30</f>
        <v>#REF!</v>
      </c>
      <c r="H9" s="106"/>
      <c r="I9" s="107"/>
      <c r="J9" s="123" t="e">
        <f t="shared" si="2"/>
        <v>#REF!</v>
      </c>
      <c r="K9" s="124" t="e">
        <f t="shared" si="0"/>
        <v>#REF!</v>
      </c>
      <c r="L9" s="125" t="e">
        <f t="shared" si="1"/>
        <v>#REF!</v>
      </c>
    </row>
    <row r="10" spans="1:12" s="12" customFormat="1" ht="30" customHeight="1" x14ac:dyDescent="0.25">
      <c r="A10" s="275"/>
      <c r="B10" s="278"/>
      <c r="C10" s="44" t="s">
        <v>490</v>
      </c>
      <c r="D10" s="45"/>
      <c r="E10" s="46">
        <f>SUM(E6:E9)</f>
        <v>618.08903999999995</v>
      </c>
      <c r="F10" s="47">
        <f>SUM(F6:F9)</f>
        <v>2512.25</v>
      </c>
      <c r="G10" s="47" t="e">
        <f>SUM(G6:G9)</f>
        <v>#REF!</v>
      </c>
      <c r="H10" s="47">
        <f>SUM(H6:H9)</f>
        <v>717.50400000000002</v>
      </c>
      <c r="I10" s="47"/>
      <c r="J10" s="48" t="e">
        <f>SUM(J6:J9)</f>
        <v>#REF!</v>
      </c>
      <c r="K10" s="47" t="e">
        <f>SUM(K6:K9)</f>
        <v>#REF!</v>
      </c>
      <c r="L10" s="49" t="e">
        <f>SUM(L6:L9)</f>
        <v>#REF!</v>
      </c>
    </row>
    <row r="11" spans="1:12" s="12" customFormat="1" ht="30" customHeight="1" x14ac:dyDescent="0.25">
      <c r="A11" s="275"/>
      <c r="B11" s="279"/>
      <c r="C11" s="50" t="s">
        <v>491</v>
      </c>
      <c r="D11" s="51"/>
      <c r="E11" s="52">
        <f>+E10*1.1</f>
        <v>679.89794400000005</v>
      </c>
      <c r="F11" s="53">
        <f>+F10*1.1</f>
        <v>2763.4750000000004</v>
      </c>
      <c r="G11" s="53" t="e">
        <f>+G10*1.1</f>
        <v>#REF!</v>
      </c>
      <c r="H11" s="53">
        <f>+H10*1.1</f>
        <v>789.25440000000003</v>
      </c>
      <c r="I11" s="126"/>
      <c r="J11" s="127" t="e">
        <f>+J10*1.1</f>
        <v>#REF!</v>
      </c>
      <c r="K11" s="64" t="e">
        <f>+K10*1.1</f>
        <v>#REF!</v>
      </c>
      <c r="L11" s="65" t="e">
        <f>+L10*1.1</f>
        <v>#REF!</v>
      </c>
    </row>
    <row r="12" spans="1:12" ht="15" x14ac:dyDescent="0.25">
      <c r="A12" s="275"/>
      <c r="B12" s="280" t="s">
        <v>492</v>
      </c>
      <c r="C12" s="55" t="s">
        <v>493</v>
      </c>
      <c r="D12" s="122" t="e">
        <f>+#REF!</f>
        <v>#REF!</v>
      </c>
      <c r="E12" s="29">
        <v>458.21</v>
      </c>
      <c r="F12" s="30"/>
      <c r="G12" s="30"/>
      <c r="H12" s="30">
        <f>4.3*4*0.888*100</f>
        <v>1527.36</v>
      </c>
      <c r="I12" s="30"/>
      <c r="J12" s="39" t="e">
        <f>+D12*0.35</f>
        <v>#REF!</v>
      </c>
      <c r="K12" s="124" t="e">
        <f>+D12*0.4</f>
        <v>#REF!</v>
      </c>
      <c r="L12" s="125" t="e">
        <f>+D12*0.8</f>
        <v>#REF!</v>
      </c>
    </row>
    <row r="13" spans="1:12" ht="15" x14ac:dyDescent="0.25">
      <c r="A13" s="275"/>
      <c r="B13" s="281"/>
      <c r="C13" s="27" t="s">
        <v>494</v>
      </c>
      <c r="D13" s="109" t="e">
        <f>+#REF!</f>
        <v>#REF!</v>
      </c>
      <c r="E13" s="58">
        <v>373.84</v>
      </c>
      <c r="F13" s="59"/>
      <c r="G13" s="106">
        <f>420.99*4*0.617</f>
        <v>1039.00332</v>
      </c>
      <c r="H13" s="59"/>
      <c r="I13" s="59"/>
      <c r="J13" s="39" t="e">
        <f t="shared" ref="J13:J16" si="3">+D13*0.35</f>
        <v>#REF!</v>
      </c>
      <c r="K13" s="124" t="e">
        <f t="shared" ref="K13:K16" si="4">+D13*0.4</f>
        <v>#REF!</v>
      </c>
      <c r="L13" s="125" t="e">
        <f t="shared" ref="L13:L16" si="5">+D13*0.8</f>
        <v>#REF!</v>
      </c>
    </row>
    <row r="14" spans="1:12" ht="15" x14ac:dyDescent="0.25">
      <c r="A14" s="275"/>
      <c r="B14" s="281"/>
      <c r="C14" s="27" t="s">
        <v>495</v>
      </c>
      <c r="D14" s="28">
        <f>50.4*0.2*0.4*1.05</f>
        <v>4.2336</v>
      </c>
      <c r="E14" s="36">
        <f>333.9+9.17+24+22.24+203</f>
        <v>592.30999999999995</v>
      </c>
      <c r="F14" s="37">
        <f>57.9+6.75+7.82+18.72+105.23</f>
        <v>196.42000000000002</v>
      </c>
      <c r="G14" s="37">
        <f>180.58+29.95+65.9+72.7+613.07</f>
        <v>962.2</v>
      </c>
      <c r="H14" s="37"/>
      <c r="I14" s="37"/>
      <c r="J14" s="39">
        <f t="shared" si="3"/>
        <v>1.48176</v>
      </c>
      <c r="K14" s="124">
        <f t="shared" si="4"/>
        <v>1.6934400000000001</v>
      </c>
      <c r="L14" s="125">
        <f t="shared" si="5"/>
        <v>3.3868800000000001</v>
      </c>
    </row>
    <row r="15" spans="1:12" ht="15" x14ac:dyDescent="0.25">
      <c r="A15" s="275"/>
      <c r="B15" s="281"/>
      <c r="C15" s="27" t="s">
        <v>496</v>
      </c>
      <c r="D15" s="109" t="e">
        <f>+#REF!</f>
        <v>#REF!</v>
      </c>
      <c r="E15" s="58">
        <f>678.2*0.222</f>
        <v>150.56040000000002</v>
      </c>
      <c r="F15" s="59">
        <f>71.24*0.2*40</f>
        <v>569.91999999999996</v>
      </c>
      <c r="G15" s="59"/>
      <c r="H15" s="59"/>
      <c r="I15" s="60"/>
      <c r="J15" s="39"/>
      <c r="K15" s="124" t="e">
        <f t="shared" si="4"/>
        <v>#REF!</v>
      </c>
      <c r="L15" s="125" t="e">
        <f t="shared" si="5"/>
        <v>#REF!</v>
      </c>
    </row>
    <row r="16" spans="1:12" ht="15" x14ac:dyDescent="0.25">
      <c r="A16" s="275"/>
      <c r="B16" s="281"/>
      <c r="C16" s="27" t="s">
        <v>497</v>
      </c>
      <c r="D16" s="109" t="e">
        <f>+#REF!+#REF!+#REF!</f>
        <v>#REF!</v>
      </c>
      <c r="E16" s="58" t="e">
        <f>+D16*50</f>
        <v>#REF!</v>
      </c>
      <c r="F16" s="59" t="e">
        <f>+D16*55</f>
        <v>#REF!</v>
      </c>
      <c r="G16" s="59"/>
      <c r="H16" s="59"/>
      <c r="I16" s="60"/>
      <c r="J16" s="39" t="e">
        <f t="shared" si="3"/>
        <v>#REF!</v>
      </c>
      <c r="K16" s="124" t="e">
        <f t="shared" si="4"/>
        <v>#REF!</v>
      </c>
      <c r="L16" s="125" t="e">
        <f t="shared" si="5"/>
        <v>#REF!</v>
      </c>
    </row>
    <row r="17" spans="1:12" s="12" customFormat="1" ht="34.5" customHeight="1" x14ac:dyDescent="0.25">
      <c r="A17" s="275"/>
      <c r="B17" s="281"/>
      <c r="C17" s="44" t="s">
        <v>498</v>
      </c>
      <c r="D17" s="45"/>
      <c r="E17" s="46" t="e">
        <f>SUM(E12:E16)</f>
        <v>#REF!</v>
      </c>
      <c r="F17" s="47" t="e">
        <f>SUM(F12:F16)</f>
        <v>#REF!</v>
      </c>
      <c r="G17" s="47">
        <f>SUM(G12:G16)</f>
        <v>2001.2033200000001</v>
      </c>
      <c r="H17" s="47">
        <f>SUM(H12:H16)</f>
        <v>1527.36</v>
      </c>
      <c r="I17" s="47"/>
      <c r="J17" s="129" t="e">
        <f>SUM(J12:J16)</f>
        <v>#REF!</v>
      </c>
      <c r="K17" s="47" t="e">
        <f>SUM(K12:K16)</f>
        <v>#REF!</v>
      </c>
      <c r="L17" s="49" t="e">
        <f>SUM(L12:L16)</f>
        <v>#REF!</v>
      </c>
    </row>
    <row r="18" spans="1:12" s="12" customFormat="1" ht="34.5" customHeight="1" x14ac:dyDescent="0.25">
      <c r="A18" s="276"/>
      <c r="B18" s="282"/>
      <c r="C18" s="61" t="s">
        <v>491</v>
      </c>
      <c r="D18" s="62"/>
      <c r="E18" s="63" t="e">
        <f>+E17*1.1</f>
        <v>#REF!</v>
      </c>
      <c r="F18" s="64" t="e">
        <f>+F17*1.1</f>
        <v>#REF!</v>
      </c>
      <c r="G18" s="64">
        <f>+G17*1.1</f>
        <v>2201.323652</v>
      </c>
      <c r="H18" s="64">
        <f>+H17*1.1</f>
        <v>1680.096</v>
      </c>
      <c r="I18" s="128"/>
      <c r="J18" s="127" t="e">
        <f>+J17*1.1</f>
        <v>#REF!</v>
      </c>
      <c r="K18" s="64" t="e">
        <f>+K17*1.1</f>
        <v>#REF!</v>
      </c>
      <c r="L18" s="65" t="e">
        <f>+L17*1.1</f>
        <v>#REF!</v>
      </c>
    </row>
    <row r="19" spans="1:12" s="12" customFormat="1" ht="34.5" customHeight="1" x14ac:dyDescent="0.25">
      <c r="A19" s="118"/>
      <c r="B19" s="119"/>
      <c r="C19" s="130" t="s">
        <v>499</v>
      </c>
      <c r="D19" s="131"/>
      <c r="E19" s="132" t="e">
        <f>+E18+E11</f>
        <v>#REF!</v>
      </c>
      <c r="F19" s="133" t="e">
        <f>+F18+F11</f>
        <v>#REF!</v>
      </c>
      <c r="G19" s="133" t="e">
        <f>+G18+G11</f>
        <v>#REF!</v>
      </c>
      <c r="H19" s="133">
        <f>+H18+H11</f>
        <v>2469.3504000000003</v>
      </c>
      <c r="I19" s="134"/>
      <c r="J19" s="133" t="e">
        <f>+J18+J11</f>
        <v>#REF!</v>
      </c>
      <c r="K19" s="133" t="e">
        <f>+K18+K11</f>
        <v>#REF!</v>
      </c>
      <c r="L19" s="135" t="e">
        <f>+L18+L11</f>
        <v>#REF!</v>
      </c>
    </row>
    <row r="20" spans="1:12" s="12" customFormat="1" ht="15" x14ac:dyDescent="0.25">
      <c r="A20" s="274" t="s">
        <v>500</v>
      </c>
      <c r="B20" s="278" t="s">
        <v>485</v>
      </c>
      <c r="C20" s="27" t="s">
        <v>486</v>
      </c>
      <c r="D20" s="28"/>
      <c r="E20" s="58"/>
      <c r="F20" s="59"/>
      <c r="G20" s="59"/>
      <c r="H20" s="59"/>
      <c r="I20" s="59"/>
      <c r="J20" s="31"/>
      <c r="K20" s="32"/>
      <c r="L20" s="33"/>
    </row>
    <row r="21" spans="1:12" s="12" customFormat="1" ht="15" x14ac:dyDescent="0.25">
      <c r="A21" s="275"/>
      <c r="B21" s="278"/>
      <c r="C21" s="34" t="s">
        <v>501</v>
      </c>
      <c r="D21" s="35"/>
      <c r="E21" s="36"/>
      <c r="F21" s="37"/>
      <c r="G21" s="37"/>
      <c r="H21" s="37"/>
      <c r="I21" s="38"/>
      <c r="J21" s="39"/>
      <c r="K21" s="32"/>
      <c r="L21" s="33"/>
    </row>
    <row r="22" spans="1:12" s="12" customFormat="1" ht="15" x14ac:dyDescent="0.25">
      <c r="A22" s="275"/>
      <c r="B22" s="278"/>
      <c r="C22" s="34" t="s">
        <v>488</v>
      </c>
      <c r="D22" s="40"/>
      <c r="E22" s="36"/>
      <c r="F22" s="41"/>
      <c r="G22" s="41"/>
      <c r="H22" s="37"/>
      <c r="I22" s="42"/>
      <c r="J22" s="43"/>
      <c r="K22" s="32"/>
      <c r="L22" s="33"/>
    </row>
    <row r="23" spans="1:12" s="12" customFormat="1" ht="15.6" x14ac:dyDescent="0.25">
      <c r="A23" s="275"/>
      <c r="B23" s="278"/>
      <c r="C23" s="44" t="s">
        <v>490</v>
      </c>
      <c r="D23" s="45"/>
      <c r="E23" s="46"/>
      <c r="F23" s="47"/>
      <c r="G23" s="47"/>
      <c r="H23" s="47"/>
      <c r="I23" s="47"/>
      <c r="J23" s="48"/>
      <c r="K23" s="47"/>
      <c r="L23" s="49"/>
    </row>
    <row r="24" spans="1:12" s="12" customFormat="1" ht="15.6" x14ac:dyDescent="0.25">
      <c r="A24" s="275"/>
      <c r="B24" s="279"/>
      <c r="C24" s="50" t="s">
        <v>491</v>
      </c>
      <c r="D24" s="51"/>
      <c r="E24" s="52"/>
      <c r="F24" s="53"/>
      <c r="G24" s="53"/>
      <c r="H24" s="53"/>
      <c r="I24" s="53"/>
      <c r="J24" s="52"/>
      <c r="K24" s="53"/>
      <c r="L24" s="54"/>
    </row>
    <row r="25" spans="1:12" s="12" customFormat="1" ht="15" x14ac:dyDescent="0.25">
      <c r="A25" s="275"/>
      <c r="B25" s="280" t="s">
        <v>492</v>
      </c>
      <c r="C25" s="55" t="s">
        <v>493</v>
      </c>
      <c r="D25" s="56"/>
      <c r="E25" s="29"/>
      <c r="F25" s="30"/>
      <c r="G25" s="30"/>
      <c r="H25" s="30"/>
      <c r="I25" s="30"/>
      <c r="J25" s="39"/>
      <c r="K25" s="32"/>
      <c r="L25" s="33"/>
    </row>
    <row r="26" spans="1:12" s="12" customFormat="1" ht="15" x14ac:dyDescent="0.25">
      <c r="A26" s="275"/>
      <c r="B26" s="281"/>
      <c r="C26" s="27" t="s">
        <v>494</v>
      </c>
      <c r="D26" s="57"/>
      <c r="E26" s="58"/>
      <c r="F26" s="59"/>
      <c r="G26" s="59"/>
      <c r="H26" s="59"/>
      <c r="I26" s="59"/>
      <c r="J26" s="39"/>
      <c r="K26" s="32"/>
      <c r="L26" s="33"/>
    </row>
    <row r="27" spans="1:12" s="12" customFormat="1" ht="15" x14ac:dyDescent="0.25">
      <c r="A27" s="275"/>
      <c r="B27" s="281"/>
      <c r="C27" s="27" t="s">
        <v>495</v>
      </c>
      <c r="D27" s="57"/>
      <c r="E27" s="36"/>
      <c r="F27" s="37"/>
      <c r="G27" s="37"/>
      <c r="H27" s="37"/>
      <c r="I27" s="37"/>
      <c r="J27" s="39"/>
      <c r="K27" s="32"/>
      <c r="L27" s="33"/>
    </row>
    <row r="28" spans="1:12" s="12" customFormat="1" ht="15" x14ac:dyDescent="0.25">
      <c r="A28" s="275"/>
      <c r="B28" s="281"/>
      <c r="C28" s="27" t="s">
        <v>496</v>
      </c>
      <c r="D28" s="57"/>
      <c r="E28" s="58"/>
      <c r="F28" s="59"/>
      <c r="G28" s="59"/>
      <c r="H28" s="59"/>
      <c r="I28" s="60"/>
      <c r="J28" s="31"/>
      <c r="K28" s="32"/>
      <c r="L28" s="33"/>
    </row>
    <row r="29" spans="1:12" s="12" customFormat="1" ht="15.6" x14ac:dyDescent="0.25">
      <c r="A29" s="275"/>
      <c r="B29" s="281"/>
      <c r="C29" s="44" t="s">
        <v>498</v>
      </c>
      <c r="D29" s="45"/>
      <c r="E29" s="46"/>
      <c r="F29" s="47"/>
      <c r="G29" s="47"/>
      <c r="H29" s="47"/>
      <c r="I29" s="47"/>
      <c r="J29" s="48"/>
      <c r="K29" s="47"/>
      <c r="L29" s="49"/>
    </row>
    <row r="30" spans="1:12" s="12" customFormat="1" ht="15.6" x14ac:dyDescent="0.25">
      <c r="A30" s="276"/>
      <c r="B30" s="282"/>
      <c r="C30" s="61" t="s">
        <v>491</v>
      </c>
      <c r="D30" s="62"/>
      <c r="E30" s="63"/>
      <c r="F30" s="64"/>
      <c r="G30" s="64"/>
      <c r="H30" s="64"/>
      <c r="I30" s="64"/>
      <c r="J30" s="63"/>
      <c r="K30" s="64"/>
      <c r="L30" s="65"/>
    </row>
    <row r="31" spans="1:12" s="12" customFormat="1" ht="15" x14ac:dyDescent="0.25">
      <c r="A31" s="274" t="s">
        <v>502</v>
      </c>
      <c r="B31" s="278" t="s">
        <v>485</v>
      </c>
      <c r="C31" s="27" t="s">
        <v>486</v>
      </c>
      <c r="D31" s="28"/>
      <c r="E31" s="58"/>
      <c r="F31" s="59"/>
      <c r="G31" s="59"/>
      <c r="H31" s="59"/>
      <c r="I31" s="59"/>
      <c r="J31" s="31"/>
      <c r="K31" s="32"/>
      <c r="L31" s="33"/>
    </row>
    <row r="32" spans="1:12" s="12" customFormat="1" ht="15" x14ac:dyDescent="0.25">
      <c r="A32" s="275"/>
      <c r="B32" s="278"/>
      <c r="C32" s="34" t="s">
        <v>501</v>
      </c>
      <c r="D32" s="35"/>
      <c r="E32" s="36"/>
      <c r="F32" s="37"/>
      <c r="G32" s="37"/>
      <c r="H32" s="37"/>
      <c r="I32" s="38"/>
      <c r="J32" s="39"/>
      <c r="K32" s="32"/>
      <c r="L32" s="33"/>
    </row>
    <row r="33" spans="1:12" s="12" customFormat="1" ht="15" x14ac:dyDescent="0.25">
      <c r="A33" s="275"/>
      <c r="B33" s="278"/>
      <c r="C33" s="34" t="s">
        <v>488</v>
      </c>
      <c r="D33" s="40"/>
      <c r="E33" s="36"/>
      <c r="F33" s="41"/>
      <c r="G33" s="41"/>
      <c r="H33" s="37"/>
      <c r="I33" s="42"/>
      <c r="J33" s="43"/>
      <c r="K33" s="32"/>
      <c r="L33" s="33"/>
    </row>
    <row r="34" spans="1:12" s="12" customFormat="1" ht="15.6" x14ac:dyDescent="0.25">
      <c r="A34" s="275"/>
      <c r="B34" s="278"/>
      <c r="C34" s="44" t="s">
        <v>490</v>
      </c>
      <c r="D34" s="45"/>
      <c r="E34" s="46"/>
      <c r="F34" s="47"/>
      <c r="G34" s="47"/>
      <c r="H34" s="47"/>
      <c r="I34" s="47"/>
      <c r="J34" s="48"/>
      <c r="K34" s="47"/>
      <c r="L34" s="49"/>
    </row>
    <row r="35" spans="1:12" s="12" customFormat="1" ht="15.6" x14ac:dyDescent="0.25">
      <c r="A35" s="275"/>
      <c r="B35" s="279"/>
      <c r="C35" s="50" t="s">
        <v>491</v>
      </c>
      <c r="D35" s="51"/>
      <c r="E35" s="52"/>
      <c r="F35" s="53"/>
      <c r="G35" s="53"/>
      <c r="H35" s="53"/>
      <c r="I35" s="53"/>
      <c r="J35" s="52"/>
      <c r="K35" s="53"/>
      <c r="L35" s="54"/>
    </row>
    <row r="36" spans="1:12" s="12" customFormat="1" ht="15" x14ac:dyDescent="0.25">
      <c r="A36" s="275"/>
      <c r="B36" s="280" t="s">
        <v>492</v>
      </c>
      <c r="C36" s="55" t="s">
        <v>493</v>
      </c>
      <c r="D36" s="56"/>
      <c r="E36" s="29"/>
      <c r="F36" s="30"/>
      <c r="G36" s="30"/>
      <c r="H36" s="30"/>
      <c r="I36" s="30"/>
      <c r="J36" s="39"/>
      <c r="K36" s="32"/>
      <c r="L36" s="33"/>
    </row>
    <row r="37" spans="1:12" s="12" customFormat="1" ht="15" x14ac:dyDescent="0.25">
      <c r="A37" s="275"/>
      <c r="B37" s="281"/>
      <c r="C37" s="27" t="s">
        <v>503</v>
      </c>
      <c r="D37" s="57"/>
      <c r="E37" s="58"/>
      <c r="F37" s="59"/>
      <c r="G37" s="59"/>
      <c r="H37" s="59"/>
      <c r="I37" s="59"/>
      <c r="J37" s="39"/>
      <c r="K37" s="32"/>
      <c r="L37" s="33"/>
    </row>
    <row r="38" spans="1:12" s="12" customFormat="1" ht="15" x14ac:dyDescent="0.25">
      <c r="A38" s="275"/>
      <c r="B38" s="281"/>
      <c r="C38" s="27" t="s">
        <v>495</v>
      </c>
      <c r="D38" s="57"/>
      <c r="E38" s="36"/>
      <c r="F38" s="37"/>
      <c r="G38" s="37"/>
      <c r="H38" s="37"/>
      <c r="I38" s="37"/>
      <c r="J38" s="39"/>
      <c r="K38" s="32"/>
      <c r="L38" s="33"/>
    </row>
    <row r="39" spans="1:12" s="12" customFormat="1" ht="15" x14ac:dyDescent="0.25">
      <c r="A39" s="275"/>
      <c r="B39" s="281"/>
      <c r="C39" s="27" t="s">
        <v>496</v>
      </c>
      <c r="D39" s="57"/>
      <c r="E39" s="58"/>
      <c r="F39" s="59"/>
      <c r="G39" s="59"/>
      <c r="H39" s="59"/>
      <c r="I39" s="60"/>
      <c r="J39" s="31"/>
      <c r="K39" s="32"/>
      <c r="L39" s="33"/>
    </row>
    <row r="40" spans="1:12" s="12" customFormat="1" ht="15.6" x14ac:dyDescent="0.25">
      <c r="A40" s="275"/>
      <c r="B40" s="281"/>
      <c r="C40" s="44" t="s">
        <v>498</v>
      </c>
      <c r="D40" s="45"/>
      <c r="E40" s="46"/>
      <c r="F40" s="47"/>
      <c r="G40" s="47"/>
      <c r="H40" s="47"/>
      <c r="I40" s="47"/>
      <c r="J40" s="48"/>
      <c r="K40" s="47"/>
      <c r="L40" s="49"/>
    </row>
    <row r="41" spans="1:12" s="12" customFormat="1" ht="15.6" x14ac:dyDescent="0.25">
      <c r="A41" s="276"/>
      <c r="B41" s="282"/>
      <c r="C41" s="61" t="s">
        <v>491</v>
      </c>
      <c r="D41" s="62"/>
      <c r="E41" s="63"/>
      <c r="F41" s="64"/>
      <c r="G41" s="64"/>
      <c r="H41" s="64"/>
      <c r="I41" s="64"/>
      <c r="J41" s="63"/>
      <c r="K41" s="64"/>
      <c r="L41" s="65"/>
    </row>
    <row r="42" spans="1:12" s="12" customFormat="1" ht="15" x14ac:dyDescent="0.25">
      <c r="A42" s="274" t="s">
        <v>504</v>
      </c>
      <c r="B42" s="278" t="s">
        <v>485</v>
      </c>
      <c r="C42" s="27" t="s">
        <v>486</v>
      </c>
      <c r="D42" s="28"/>
      <c r="E42" s="58"/>
      <c r="F42" s="59"/>
      <c r="G42" s="59"/>
      <c r="H42" s="59"/>
      <c r="I42" s="59"/>
      <c r="J42" s="31"/>
      <c r="K42" s="32"/>
      <c r="L42" s="33"/>
    </row>
    <row r="43" spans="1:12" s="12" customFormat="1" ht="15" x14ac:dyDescent="0.25">
      <c r="A43" s="275"/>
      <c r="B43" s="278"/>
      <c r="C43" s="34" t="s">
        <v>501</v>
      </c>
      <c r="D43" s="35"/>
      <c r="E43" s="36"/>
      <c r="F43" s="37"/>
      <c r="G43" s="37"/>
      <c r="H43" s="37"/>
      <c r="I43" s="38"/>
      <c r="J43" s="39"/>
      <c r="K43" s="32"/>
      <c r="L43" s="33"/>
    </row>
    <row r="44" spans="1:12" s="12" customFormat="1" ht="15" x14ac:dyDescent="0.25">
      <c r="A44" s="275"/>
      <c r="B44" s="278"/>
      <c r="C44" s="34" t="s">
        <v>488</v>
      </c>
      <c r="D44" s="40"/>
      <c r="E44" s="36"/>
      <c r="F44" s="41"/>
      <c r="G44" s="41"/>
      <c r="H44" s="37"/>
      <c r="I44" s="42"/>
      <c r="J44" s="43"/>
      <c r="K44" s="32"/>
      <c r="L44" s="33"/>
    </row>
    <row r="45" spans="1:12" s="12" customFormat="1" ht="15.6" x14ac:dyDescent="0.25">
      <c r="A45" s="275"/>
      <c r="B45" s="278"/>
      <c r="C45" s="44" t="s">
        <v>490</v>
      </c>
      <c r="D45" s="45"/>
      <c r="E45" s="46"/>
      <c r="F45" s="47"/>
      <c r="G45" s="47"/>
      <c r="H45" s="47"/>
      <c r="I45" s="47"/>
      <c r="J45" s="48"/>
      <c r="K45" s="47"/>
      <c r="L45" s="49"/>
    </row>
    <row r="46" spans="1:12" s="12" customFormat="1" ht="15.6" x14ac:dyDescent="0.25">
      <c r="A46" s="275"/>
      <c r="B46" s="279"/>
      <c r="C46" s="50" t="s">
        <v>491</v>
      </c>
      <c r="D46" s="51"/>
      <c r="E46" s="52"/>
      <c r="F46" s="53"/>
      <c r="G46" s="53"/>
      <c r="H46" s="53"/>
      <c r="I46" s="53"/>
      <c r="J46" s="52"/>
      <c r="K46" s="53"/>
      <c r="L46" s="54"/>
    </row>
    <row r="47" spans="1:12" s="12" customFormat="1" ht="15" x14ac:dyDescent="0.25">
      <c r="A47" s="275"/>
      <c r="B47" s="280" t="s">
        <v>492</v>
      </c>
      <c r="C47" s="55" t="s">
        <v>493</v>
      </c>
      <c r="D47" s="56"/>
      <c r="E47" s="29"/>
      <c r="F47" s="30"/>
      <c r="G47" s="30"/>
      <c r="H47" s="30"/>
      <c r="I47" s="30"/>
      <c r="J47" s="39"/>
      <c r="K47" s="32"/>
      <c r="L47" s="33"/>
    </row>
    <row r="48" spans="1:12" s="12" customFormat="1" ht="15" x14ac:dyDescent="0.25">
      <c r="A48" s="275"/>
      <c r="B48" s="281"/>
      <c r="C48" s="27" t="s">
        <v>494</v>
      </c>
      <c r="D48" s="57"/>
      <c r="E48" s="58"/>
      <c r="F48" s="59"/>
      <c r="G48" s="59"/>
      <c r="H48" s="59"/>
      <c r="I48" s="59"/>
      <c r="J48" s="39"/>
      <c r="K48" s="32"/>
      <c r="L48" s="33"/>
    </row>
    <row r="49" spans="1:14" s="12" customFormat="1" ht="15" x14ac:dyDescent="0.25">
      <c r="A49" s="275"/>
      <c r="B49" s="281"/>
      <c r="C49" s="27" t="s">
        <v>495</v>
      </c>
      <c r="D49" s="57"/>
      <c r="E49" s="36"/>
      <c r="F49" s="37"/>
      <c r="G49" s="37"/>
      <c r="H49" s="37"/>
      <c r="I49" s="37"/>
      <c r="J49" s="39"/>
      <c r="K49" s="32"/>
      <c r="L49" s="33"/>
    </row>
    <row r="50" spans="1:14" s="12" customFormat="1" ht="15" x14ac:dyDescent="0.25">
      <c r="A50" s="275"/>
      <c r="B50" s="281"/>
      <c r="C50" s="27" t="s">
        <v>496</v>
      </c>
      <c r="D50" s="57"/>
      <c r="E50" s="58"/>
      <c r="F50" s="59"/>
      <c r="G50" s="59"/>
      <c r="H50" s="59"/>
      <c r="I50" s="60"/>
      <c r="J50" s="31"/>
      <c r="K50" s="32"/>
      <c r="L50" s="33"/>
    </row>
    <row r="51" spans="1:14" s="12" customFormat="1" ht="15.6" x14ac:dyDescent="0.25">
      <c r="A51" s="275"/>
      <c r="B51" s="281"/>
      <c r="C51" s="44" t="s">
        <v>498</v>
      </c>
      <c r="D51" s="45"/>
      <c r="E51" s="46"/>
      <c r="F51" s="47"/>
      <c r="G51" s="47"/>
      <c r="H51" s="47"/>
      <c r="I51" s="47"/>
      <c r="J51" s="48"/>
      <c r="K51" s="47"/>
      <c r="L51" s="49"/>
    </row>
    <row r="52" spans="1:14" s="12" customFormat="1" ht="15.6" x14ac:dyDescent="0.25">
      <c r="A52" s="276"/>
      <c r="B52" s="282"/>
      <c r="C52" s="61" t="s">
        <v>491</v>
      </c>
      <c r="D52" s="62"/>
      <c r="E52" s="63"/>
      <c r="F52" s="64"/>
      <c r="G52" s="64"/>
      <c r="H52" s="64"/>
      <c r="I52" s="64"/>
      <c r="J52" s="63"/>
      <c r="K52" s="64"/>
      <c r="L52" s="65"/>
    </row>
    <row r="53" spans="1:14" s="12" customFormat="1" ht="15.6" x14ac:dyDescent="0.25">
      <c r="A53" s="66"/>
      <c r="B53" s="67"/>
      <c r="C53" s="50"/>
      <c r="D53" s="51"/>
      <c r="E53" s="52"/>
      <c r="F53" s="53"/>
      <c r="G53" s="53"/>
      <c r="H53" s="53"/>
      <c r="I53" s="53"/>
      <c r="J53" s="68"/>
      <c r="K53" s="53"/>
      <c r="L53" s="54"/>
    </row>
    <row r="54" spans="1:14" ht="15.6" x14ac:dyDescent="0.3">
      <c r="A54" s="69"/>
      <c r="B54" s="70"/>
      <c r="C54" s="71"/>
      <c r="D54" s="72"/>
      <c r="E54" s="73"/>
      <c r="F54" s="74"/>
      <c r="G54" s="74"/>
      <c r="H54" s="74"/>
      <c r="I54" s="75"/>
      <c r="J54" s="43"/>
      <c r="K54" s="32"/>
      <c r="L54" s="33"/>
    </row>
    <row r="55" spans="1:14" s="12" customFormat="1" ht="15.6" x14ac:dyDescent="0.25">
      <c r="A55" s="66"/>
      <c r="B55" s="76" t="s">
        <v>505</v>
      </c>
      <c r="C55" s="77"/>
      <c r="D55" s="78"/>
      <c r="E55" s="79"/>
      <c r="F55" s="80"/>
      <c r="G55" s="80"/>
      <c r="H55" s="80"/>
      <c r="I55" s="80"/>
      <c r="J55" s="81"/>
      <c r="K55" s="80"/>
      <c r="L55" s="82"/>
    </row>
    <row r="56" spans="1:14" s="12" customFormat="1" ht="31.2" x14ac:dyDescent="0.25">
      <c r="A56" s="66"/>
      <c r="B56" s="83" t="s">
        <v>506</v>
      </c>
      <c r="C56" s="84"/>
      <c r="D56" s="85"/>
      <c r="E56" s="86"/>
      <c r="F56" s="87"/>
      <c r="G56" s="87"/>
      <c r="H56" s="87"/>
      <c r="I56" s="87"/>
      <c r="J56" s="87"/>
      <c r="K56" s="87"/>
      <c r="L56" s="88"/>
    </row>
    <row r="57" spans="1:14" x14ac:dyDescent="0.25">
      <c r="A57" s="69"/>
      <c r="B57" s="89"/>
      <c r="C57" s="90"/>
      <c r="D57" s="91"/>
      <c r="E57" s="90"/>
      <c r="F57" s="32"/>
      <c r="G57" s="32"/>
      <c r="H57" s="32"/>
      <c r="I57" s="92"/>
      <c r="J57" s="43"/>
      <c r="K57" s="93"/>
      <c r="L57" s="33"/>
      <c r="N57" s="94"/>
    </row>
    <row r="58" spans="1:14" ht="13.8" thickBot="1" x14ac:dyDescent="0.3">
      <c r="A58" s="95"/>
      <c r="B58" s="96"/>
      <c r="C58" s="97"/>
      <c r="D58" s="98"/>
      <c r="E58" s="97"/>
      <c r="F58" s="99"/>
      <c r="G58" s="99"/>
      <c r="H58" s="99"/>
      <c r="I58" s="100"/>
      <c r="J58" s="101"/>
      <c r="K58" s="99"/>
      <c r="L58" s="102"/>
    </row>
    <row r="59" spans="1:14" ht="13.8" thickTop="1" x14ac:dyDescent="0.25">
      <c r="I59" s="103"/>
      <c r="J59" s="104"/>
    </row>
    <row r="60" spans="1:14" x14ac:dyDescent="0.25">
      <c r="I60" s="103"/>
      <c r="J60" s="104"/>
    </row>
    <row r="61" spans="1:14" x14ac:dyDescent="0.25">
      <c r="I61" s="103"/>
      <c r="J61" s="104"/>
    </row>
    <row r="62" spans="1:14" x14ac:dyDescent="0.25">
      <c r="I62" s="103"/>
      <c r="J62" s="104"/>
    </row>
    <row r="63" spans="1:14" x14ac:dyDescent="0.25">
      <c r="I63" s="103"/>
      <c r="J63" s="104"/>
    </row>
    <row r="64" spans="1:14" x14ac:dyDescent="0.25">
      <c r="I64" s="103"/>
      <c r="J64" s="104"/>
    </row>
    <row r="65" spans="5:10" x14ac:dyDescent="0.25">
      <c r="E65" s="14">
        <v>8302</v>
      </c>
      <c r="G65" s="14">
        <v>250</v>
      </c>
      <c r="I65" s="103"/>
      <c r="J65" s="104"/>
    </row>
    <row r="66" spans="5:10" x14ac:dyDescent="0.25">
      <c r="G66" s="14">
        <v>250</v>
      </c>
      <c r="I66" s="103"/>
      <c r="J66" s="104"/>
    </row>
    <row r="67" spans="5:10" x14ac:dyDescent="0.25">
      <c r="G67" s="14">
        <v>72</v>
      </c>
      <c r="I67" s="103"/>
      <c r="J67" s="104"/>
    </row>
    <row r="68" spans="5:10" x14ac:dyDescent="0.25">
      <c r="G68" s="14">
        <v>106.2</v>
      </c>
      <c r="I68" s="103"/>
      <c r="J68" s="104"/>
    </row>
    <row r="69" spans="5:10" x14ac:dyDescent="0.25">
      <c r="G69" s="14">
        <f>SUM(G65:G68)</f>
        <v>678.2</v>
      </c>
    </row>
  </sheetData>
  <mergeCells count="18">
    <mergeCell ref="A31:A41"/>
    <mergeCell ref="B31:B35"/>
    <mergeCell ref="B36:B41"/>
    <mergeCell ref="A42:A52"/>
    <mergeCell ref="B42:B46"/>
    <mergeCell ref="B47:B52"/>
    <mergeCell ref="A6:A18"/>
    <mergeCell ref="B6:B11"/>
    <mergeCell ref="B12:B18"/>
    <mergeCell ref="A20:A30"/>
    <mergeCell ref="B20:B24"/>
    <mergeCell ref="B25:B30"/>
    <mergeCell ref="B1:L1"/>
    <mergeCell ref="B2:L2"/>
    <mergeCell ref="A4:A5"/>
    <mergeCell ref="B4:B5"/>
    <mergeCell ref="C4:C5"/>
    <mergeCell ref="E4:I4"/>
  </mergeCells>
  <pageMargins left="0.7" right="0.7" top="0.75" bottom="0.75" header="0.3" footer="0.3"/>
  <pageSetup paperSize="8" scale="74" orientation="landscape" r:id="rId1"/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BFAENABEL-680963957-140530</_dlc_DocId>
    <_dlc_DocIdUrl xmlns="508ba6eb-9e09-4fd5-92f2-2d9921329f2d">
      <Url>https://enabelbe.sharepoint.com/sites/BFA/_layouts/15/DocIdRedir.aspx?ID=BFAENABEL-680963957-140530</Url>
      <Description>BFAENABEL-680963957-140530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98B5E-990C-43E4-B41F-792C5B3435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0F98AF7-A7A9-4A93-9F08-13DC86884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01BA7-D751-491F-89BC-8580DAA5B7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CB474919-5E9B-4285-A431-E8FFB8CC0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DEVIS </vt:lpstr>
      <vt:lpstr>Feuil3</vt:lpstr>
      <vt:lpstr>MTX</vt:lpstr>
      <vt:lpstr>'DEVIS '!Impression_des_titres</vt:lpstr>
      <vt:lpstr>'DEVIS '!Zone_d_impression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Arnaud BADO</dc:creator>
  <cp:keywords/>
  <dc:description/>
  <cp:lastModifiedBy>DARGANI, Eleonore</cp:lastModifiedBy>
  <cp:revision/>
  <dcterms:created xsi:type="dcterms:W3CDTF">2006-08-15T19:48:14Z</dcterms:created>
  <dcterms:modified xsi:type="dcterms:W3CDTF">2026-05-07T17:00:02Z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96c9529b-0ceb-4711-8c2b-cd1bc0e754fb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