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enabelbe.sharepoint.com/sites/BFA/Contracts/21_Marchés_Publics/BFA2300411_Resil_Koup/BFA23004-10686_ETA/2_CSC/"/>
    </mc:Choice>
  </mc:AlternateContent>
  <xr:revisionPtr revIDLastSave="218" documentId="13_ncr:1_{8B0183F0-8D06-4ED1-94EE-8F25CDBE7CED}" xr6:coauthVersionLast="47" xr6:coauthVersionMax="47" xr10:uidLastSave="{A91162EA-8D95-45D9-887F-08F4F5151695}"/>
  <bookViews>
    <workbookView xWindow="-108" yWindow="-108" windowWidth="23256" windowHeight="12456" xr2:uid="{00000000-000D-0000-FFFF-FFFF00000000}"/>
  </bookViews>
  <sheets>
    <sheet name="LOT 1 " sheetId="11" r:id="rId1"/>
    <sheet name="LOT 2  " sheetId="1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12" i="12" l="1"/>
  <c r="F113" i="12" s="1"/>
  <c r="D109" i="12"/>
  <c r="F109" i="12" s="1"/>
  <c r="D108" i="12"/>
  <c r="F108" i="12" s="1"/>
  <c r="D107" i="12"/>
  <c r="F107" i="12" s="1"/>
  <c r="D106" i="12"/>
  <c r="F106" i="12" s="1"/>
  <c r="D103" i="12"/>
  <c r="F103" i="12" s="1"/>
  <c r="F102" i="12"/>
  <c r="F101" i="12"/>
  <c r="F98" i="12"/>
  <c r="D97" i="12"/>
  <c r="F97" i="12" s="1"/>
  <c r="D96" i="12"/>
  <c r="F96" i="12" s="1"/>
  <c r="D95" i="12"/>
  <c r="F95" i="12" s="1"/>
  <c r="D94" i="12"/>
  <c r="F94" i="12" s="1"/>
  <c r="F93" i="12"/>
  <c r="F90" i="12"/>
  <c r="D88" i="12"/>
  <c r="F88" i="12" s="1"/>
  <c r="D87" i="12"/>
  <c r="F87" i="12" s="1"/>
  <c r="D86" i="12"/>
  <c r="F86" i="12" s="1"/>
  <c r="D83" i="12"/>
  <c r="D85" i="12" s="1"/>
  <c r="F85" i="12" s="1"/>
  <c r="D82" i="12"/>
  <c r="F82" i="12" s="1"/>
  <c r="D81" i="12"/>
  <c r="F81" i="12" s="1"/>
  <c r="D78" i="12"/>
  <c r="F78" i="12" s="1"/>
  <c r="D77" i="12"/>
  <c r="F77" i="12" s="1"/>
  <c r="D76" i="12"/>
  <c r="F76" i="12" s="1"/>
  <c r="D75" i="12"/>
  <c r="F75" i="12" s="1"/>
  <c r="D74" i="12"/>
  <c r="F74" i="12" s="1"/>
  <c r="D73" i="12"/>
  <c r="F73" i="12" s="1"/>
  <c r="D70" i="12"/>
  <c r="F70" i="12" s="1"/>
  <c r="D69" i="12"/>
  <c r="F69" i="12" s="1"/>
  <c r="D68" i="12"/>
  <c r="F68" i="12" s="1"/>
  <c r="F67" i="12"/>
  <c r="D66" i="12"/>
  <c r="F66" i="12" s="1"/>
  <c r="F65" i="12"/>
  <c r="F54" i="12"/>
  <c r="F55" i="12" s="1"/>
  <c r="D51" i="12"/>
  <c r="F51" i="12" s="1"/>
  <c r="D50" i="12"/>
  <c r="F50" i="12" s="1"/>
  <c r="D49" i="12"/>
  <c r="F49" i="12" s="1"/>
  <c r="D48" i="12"/>
  <c r="F48" i="12" s="1"/>
  <c r="D45" i="12"/>
  <c r="F45" i="12" s="1"/>
  <c r="F44" i="12"/>
  <c r="F43" i="12"/>
  <c r="F40" i="12"/>
  <c r="D39" i="12"/>
  <c r="F39" i="12" s="1"/>
  <c r="D38" i="12"/>
  <c r="F38" i="12" s="1"/>
  <c r="D37" i="12"/>
  <c r="F37" i="12" s="1"/>
  <c r="D36" i="12"/>
  <c r="F36" i="12" s="1"/>
  <c r="D35" i="12"/>
  <c r="F35" i="12" s="1"/>
  <c r="D34" i="12"/>
  <c r="F34" i="12" s="1"/>
  <c r="F31" i="12"/>
  <c r="D29" i="12"/>
  <c r="F29" i="12" s="1"/>
  <c r="D28" i="12"/>
  <c r="F28" i="12" s="1"/>
  <c r="D27" i="12"/>
  <c r="F27" i="12" s="1"/>
  <c r="D24" i="12"/>
  <c r="F24" i="12" s="1"/>
  <c r="D23" i="12"/>
  <c r="F23" i="12" s="1"/>
  <c r="D22" i="12"/>
  <c r="F22" i="12" s="1"/>
  <c r="D19" i="12"/>
  <c r="F19" i="12" s="1"/>
  <c r="D18" i="12"/>
  <c r="F18" i="12" s="1"/>
  <c r="D17" i="12"/>
  <c r="F17" i="12" s="1"/>
  <c r="D16" i="12"/>
  <c r="F16" i="12" s="1"/>
  <c r="D15" i="12"/>
  <c r="F15" i="12" s="1"/>
  <c r="D14" i="12"/>
  <c r="F14" i="12" s="1"/>
  <c r="D11" i="12"/>
  <c r="F11" i="12" s="1"/>
  <c r="D10" i="12"/>
  <c r="F10" i="12" s="1"/>
  <c r="D9" i="12"/>
  <c r="F9" i="12" s="1"/>
  <c r="F8" i="12"/>
  <c r="D7" i="12"/>
  <c r="F7" i="12" s="1"/>
  <c r="F6" i="12"/>
  <c r="D51" i="11"/>
  <c r="F51" i="11" s="1"/>
  <c r="D50" i="11"/>
  <c r="F50" i="11" s="1"/>
  <c r="D49" i="11"/>
  <c r="F49" i="11" s="1"/>
  <c r="D48" i="11"/>
  <c r="F48" i="11" s="1"/>
  <c r="F52" i="11" s="1"/>
  <c r="D45" i="11"/>
  <c r="F45" i="11" s="1"/>
  <c r="F44" i="11"/>
  <c r="F43" i="11"/>
  <c r="F46" i="11" s="1"/>
  <c r="F40" i="11"/>
  <c r="D39" i="11"/>
  <c r="F39" i="11" s="1"/>
  <c r="D38" i="11"/>
  <c r="F38" i="11" s="1"/>
  <c r="D37" i="11"/>
  <c r="F37" i="11" s="1"/>
  <c r="D36" i="11"/>
  <c r="F36" i="11" s="1"/>
  <c r="D35" i="11"/>
  <c r="F35" i="11" s="1"/>
  <c r="D34" i="11"/>
  <c r="F34" i="11" s="1"/>
  <c r="F31" i="11"/>
  <c r="D29" i="11"/>
  <c r="F29" i="11" s="1"/>
  <c r="D28" i="11"/>
  <c r="F28" i="11" s="1"/>
  <c r="D27" i="11"/>
  <c r="F27" i="11" s="1"/>
  <c r="D24" i="11"/>
  <c r="F24" i="11" s="1"/>
  <c r="D23" i="11"/>
  <c r="F23" i="11" s="1"/>
  <c r="D22" i="11"/>
  <c r="F22" i="11" s="1"/>
  <c r="D19" i="11"/>
  <c r="F19" i="11" s="1"/>
  <c r="D18" i="11"/>
  <c r="F18" i="11" s="1"/>
  <c r="D17" i="11"/>
  <c r="F17" i="11" s="1"/>
  <c r="D16" i="11"/>
  <c r="F16" i="11" s="1"/>
  <c r="D15" i="11"/>
  <c r="F15" i="11" s="1"/>
  <c r="D14" i="11"/>
  <c r="F14" i="11" s="1"/>
  <c r="F20" i="11" s="1"/>
  <c r="D11" i="11"/>
  <c r="F11" i="11" s="1"/>
  <c r="D10" i="11"/>
  <c r="F10" i="11" s="1"/>
  <c r="D9" i="11"/>
  <c r="F9" i="11" s="1"/>
  <c r="F8" i="11"/>
  <c r="D7" i="11"/>
  <c r="F7" i="11" s="1"/>
  <c r="F6" i="11"/>
  <c r="D168" i="12"/>
  <c r="F168" i="12" s="1"/>
  <c r="D167" i="12"/>
  <c r="F167" i="12" s="1"/>
  <c r="D166" i="12"/>
  <c r="F166" i="12" s="1"/>
  <c r="D165" i="12"/>
  <c r="F165" i="12" s="1"/>
  <c r="D162" i="12"/>
  <c r="F162" i="12" s="1"/>
  <c r="F161" i="12"/>
  <c r="F160" i="12"/>
  <c r="F157" i="12"/>
  <c r="D156" i="12"/>
  <c r="F156" i="12" s="1"/>
  <c r="D155" i="12"/>
  <c r="F155" i="12" s="1"/>
  <c r="D154" i="12"/>
  <c r="F154" i="12" s="1"/>
  <c r="D153" i="12"/>
  <c r="F153" i="12" s="1"/>
  <c r="F152" i="12"/>
  <c r="F149" i="12"/>
  <c r="D147" i="12"/>
  <c r="F147" i="12" s="1"/>
  <c r="D146" i="12"/>
  <c r="F146" i="12" s="1"/>
  <c r="D145" i="12"/>
  <c r="F145" i="12" s="1"/>
  <c r="D142" i="12"/>
  <c r="D144" i="12" s="1"/>
  <c r="F144" i="12" s="1"/>
  <c r="D141" i="12"/>
  <c r="F141" i="12" s="1"/>
  <c r="D140" i="12"/>
  <c r="F140" i="12" s="1"/>
  <c r="D137" i="12"/>
  <c r="F137" i="12" s="1"/>
  <c r="D136" i="12"/>
  <c r="F136" i="12" s="1"/>
  <c r="D135" i="12"/>
  <c r="F135" i="12" s="1"/>
  <c r="D134" i="12"/>
  <c r="F134" i="12" s="1"/>
  <c r="D133" i="12"/>
  <c r="F133" i="12" s="1"/>
  <c r="D132" i="12"/>
  <c r="F132" i="12" s="1"/>
  <c r="D129" i="12"/>
  <c r="F129" i="12" s="1"/>
  <c r="D128" i="12"/>
  <c r="F128" i="12" s="1"/>
  <c r="D127" i="12"/>
  <c r="F127" i="12" s="1"/>
  <c r="F126" i="12"/>
  <c r="D125" i="12"/>
  <c r="F125" i="12" s="1"/>
  <c r="F124" i="12"/>
  <c r="F104" i="12" l="1"/>
  <c r="F41" i="11"/>
  <c r="F12" i="11"/>
  <c r="F110" i="12"/>
  <c r="F79" i="12"/>
  <c r="F71" i="12"/>
  <c r="F99" i="12"/>
  <c r="F83" i="12"/>
  <c r="D84" i="12"/>
  <c r="F52" i="12"/>
  <c r="D25" i="12"/>
  <c r="F25" i="12" s="1"/>
  <c r="D26" i="12"/>
  <c r="D30" i="12" s="1"/>
  <c r="F30" i="12" s="1"/>
  <c r="F41" i="12"/>
  <c r="F158" i="12"/>
  <c r="F20" i="12"/>
  <c r="F46" i="12"/>
  <c r="F12" i="12"/>
  <c r="F163" i="12"/>
  <c r="F138" i="12"/>
  <c r="F130" i="12"/>
  <c r="F169" i="12"/>
  <c r="D26" i="11"/>
  <c r="D30" i="11" s="1"/>
  <c r="F30" i="11" s="1"/>
  <c r="D25" i="11"/>
  <c r="F25" i="11" s="1"/>
  <c r="F26" i="11"/>
  <c r="F142" i="12"/>
  <c r="D143" i="12"/>
  <c r="F32" i="11" l="1"/>
  <c r="D89" i="12"/>
  <c r="F89" i="12" s="1"/>
  <c r="F84" i="12"/>
  <c r="F26" i="12"/>
  <c r="F32" i="12" s="1"/>
  <c r="F56" i="12" s="1"/>
  <c r="F143" i="12"/>
  <c r="D148" i="12"/>
  <c r="F148" i="12" s="1"/>
  <c r="F57" i="12" l="1"/>
  <c r="F180" i="12"/>
  <c r="F91" i="12"/>
  <c r="F114" i="12" s="1"/>
  <c r="F182" i="12" s="1"/>
  <c r="F150" i="12"/>
  <c r="F58" i="12" l="1"/>
  <c r="F181" i="12" s="1"/>
  <c r="F115" i="12"/>
  <c r="F116" i="12" s="1"/>
  <c r="F183" i="12" s="1"/>
  <c r="F171" i="12" l="1"/>
  <c r="F172" i="12" s="1"/>
  <c r="F54" i="11"/>
  <c r="F55" i="11" s="1"/>
  <c r="F173" i="12" l="1"/>
  <c r="F184" i="12" s="1"/>
  <c r="F186" i="12" s="1"/>
  <c r="F174" i="12" l="1"/>
  <c r="F187" i="12" s="1"/>
  <c r="F56" i="11"/>
  <c r="F62" i="11" s="1"/>
  <c r="F64" i="11" s="1"/>
  <c r="G64" i="11" s="1"/>
  <c r="F175" i="12" l="1"/>
  <c r="F185" i="12" s="1"/>
  <c r="F188" i="12" s="1"/>
  <c r="G187" i="12"/>
  <c r="G186" i="12"/>
  <c r="F57" i="11"/>
  <c r="F65" i="11" s="1"/>
  <c r="G188" i="12" l="1"/>
  <c r="F58" i="11"/>
  <c r="F63" i="11" s="1"/>
  <c r="F66" i="11" s="1"/>
  <c r="G66" i="11" s="1"/>
  <c r="G65" i="11"/>
</calcChain>
</file>

<file path=xl/sharedStrings.xml><?xml version="1.0" encoding="utf-8"?>
<sst xmlns="http://schemas.openxmlformats.org/spreadsheetml/2006/main" count="562" uniqueCount="144">
  <si>
    <t>N°</t>
  </si>
  <si>
    <t>DÉSIGNATION</t>
  </si>
  <si>
    <t>Unité</t>
  </si>
  <si>
    <t>TRAVAUX PREPARATOIRES ET TERRASSEMENTS</t>
  </si>
  <si>
    <t>m²</t>
  </si>
  <si>
    <t>ff</t>
  </si>
  <si>
    <t>Remblai hydraulique (en sable) précédé d'un décapage de 20 cm minimum de la terre végétale résiduelle</t>
  </si>
  <si>
    <t>INFRASTRUCTURES</t>
  </si>
  <si>
    <t>SUPERSTRUCTURES</t>
  </si>
  <si>
    <t>Trou d'aérations grillagés</t>
  </si>
  <si>
    <t>u</t>
  </si>
  <si>
    <t>CHARPENTE-COUVERTURE</t>
  </si>
  <si>
    <t>ml</t>
  </si>
  <si>
    <t>PEINTURE</t>
  </si>
  <si>
    <t>Peinture Glycéro sur menuiserie métallique</t>
  </si>
  <si>
    <t>Quantité</t>
  </si>
  <si>
    <t>Sous-total 1: travaux préparatoires et terrassements</t>
  </si>
  <si>
    <t>Sous-total 2: infrastructures</t>
  </si>
  <si>
    <t xml:space="preserve">Sous-total 3 : superstructure </t>
  </si>
  <si>
    <t>Sous-total 4: charpente-couverture</t>
  </si>
  <si>
    <t>1.1</t>
  </si>
  <si>
    <t>1.2</t>
  </si>
  <si>
    <t>1.3</t>
  </si>
  <si>
    <t>1.4</t>
  </si>
  <si>
    <t>2.1</t>
  </si>
  <si>
    <t>2.2</t>
  </si>
  <si>
    <t>2.3</t>
  </si>
  <si>
    <t>2.4</t>
  </si>
  <si>
    <t>2.5</t>
  </si>
  <si>
    <t>2.6</t>
  </si>
  <si>
    <t>3.1</t>
  </si>
  <si>
    <t>3.2</t>
  </si>
  <si>
    <t>3.3</t>
  </si>
  <si>
    <t>3.4</t>
  </si>
  <si>
    <t>3.5</t>
  </si>
  <si>
    <t>3.6</t>
  </si>
  <si>
    <t>3.7</t>
  </si>
  <si>
    <t>3.8</t>
  </si>
  <si>
    <t>3.9</t>
  </si>
  <si>
    <t>3.10</t>
  </si>
  <si>
    <t>4.1</t>
  </si>
  <si>
    <t>5.1</t>
  </si>
  <si>
    <t>5.2</t>
  </si>
  <si>
    <t>5.3</t>
  </si>
  <si>
    <t>6.1</t>
  </si>
  <si>
    <t>6.2</t>
  </si>
  <si>
    <t>6.3</t>
  </si>
  <si>
    <t>6.4</t>
  </si>
  <si>
    <t xml:space="preserve">MENUISERIE MÉTALLIQUE </t>
  </si>
  <si>
    <t xml:space="preserve">Sous-total 5: menuiserie métallique </t>
  </si>
  <si>
    <t>Ardoisine noire de préférence pour tableaux</t>
  </si>
  <si>
    <t>Sous-total 6 : peinture</t>
  </si>
  <si>
    <t>Démolition (jusqu'au niveau chainage bas) du mur de15 cm de part et d'autre de l'axe des tubes rond servant de poteaux</t>
  </si>
  <si>
    <t>Maçonnerie d'agglos plein de 20x20x40 (18 briques par sac de ciment)</t>
  </si>
  <si>
    <t>Béton de propreté de 5 cm dosé à 150 kg/ m3</t>
  </si>
  <si>
    <t>Béton armé pour terrasse d'accès dosé à 300 kg/m3 et socles  d'épaisseur 8 cm  y compris chape incorporée et bouchardée (armatures par quadrillage en HA 6, espacement 15 cm dans les deux directions)</t>
  </si>
  <si>
    <t>Béton armé pour rampes et marches d'accès dosé à 300 kg/m3, d'épaisseur 8 cm  (armatures par quadrillage en HA 6, espacement 15 cm dans les deux directions)</t>
  </si>
  <si>
    <t xml:space="preserve">Traitement anti termites y compris film polyéthylène </t>
  </si>
  <si>
    <t>Enduits  extérieurs esthétique d'épaisseur 2,5 cm dosé à 400kg/m3</t>
  </si>
  <si>
    <t>Enduits intérieurs bicouche d'épaisseur 2,5 cm dosé à 400kg/m3 (sur toute la hauteur du bâtiment)</t>
  </si>
  <si>
    <t xml:space="preserve">Enduit lisse sur grillage poulailler pour tableau "noir" d'épaisseur 6 cm dosé à 600kg/m3 </t>
  </si>
  <si>
    <t>Installation et repli de chantier</t>
  </si>
  <si>
    <t>Maçonnerie d'agglos creux de 15x20x40 cm (35 briques par sac de ciment)</t>
  </si>
  <si>
    <t>Enduits tyroliens au ciment blanc écrasés sur murs intérieurs (hauteur 1,60 m)</t>
  </si>
  <si>
    <t>Maçonnerie d'agglos creux de (15x20x40) cm (35 briques par sac de ciment)</t>
  </si>
  <si>
    <r>
      <t>m</t>
    </r>
    <r>
      <rPr>
        <vertAlign val="superscript"/>
        <sz val="11"/>
        <color theme="1"/>
        <rFont val="Times New Roman"/>
        <family val="1"/>
      </rPr>
      <t>3</t>
    </r>
  </si>
  <si>
    <r>
      <t>m</t>
    </r>
    <r>
      <rPr>
        <vertAlign val="superscript"/>
        <sz val="11"/>
        <color rgb="FF000000"/>
        <rFont val="Times New Roman"/>
        <family val="1"/>
      </rPr>
      <t>2</t>
    </r>
  </si>
  <si>
    <r>
      <t>m</t>
    </r>
    <r>
      <rPr>
        <vertAlign val="superscript"/>
        <sz val="11"/>
        <color rgb="FF000000"/>
        <rFont val="Times New Roman"/>
        <family val="1"/>
      </rPr>
      <t>3</t>
    </r>
  </si>
  <si>
    <r>
      <t>Béton armé dosé à 350 kg/m</t>
    </r>
    <r>
      <rPr>
        <vertAlign val="superscript"/>
        <sz val="11"/>
        <color rgb="FF000000"/>
        <rFont val="Times New Roman"/>
        <family val="1"/>
      </rPr>
      <t>3</t>
    </r>
    <r>
      <rPr>
        <sz val="11"/>
        <color rgb="FF000000"/>
        <rFont val="Times New Roman"/>
        <family val="1"/>
      </rPr>
      <t xml:space="preserve"> pour poteaux avec des HA10 et des cadres en HA 6 espacé de 15 cm</t>
    </r>
  </si>
  <si>
    <r>
      <t>Béton armé dosé à 350 kg/m</t>
    </r>
    <r>
      <rPr>
        <vertAlign val="superscript"/>
        <sz val="11"/>
        <color rgb="FF000000"/>
        <rFont val="Times New Roman"/>
        <family val="1"/>
      </rPr>
      <t>3</t>
    </r>
    <r>
      <rPr>
        <sz val="11"/>
        <color rgb="FF000000"/>
        <rFont val="Times New Roman"/>
        <family val="1"/>
      </rPr>
      <t xml:space="preserve"> pour  chaînage haut avec des HA10 et des cadres en HA 6 espacé de 15 cm</t>
    </r>
  </si>
  <si>
    <r>
      <t> </t>
    </r>
    <r>
      <rPr>
        <b/>
        <sz val="10"/>
        <color rgb="FF000000"/>
        <rFont val="Times New Roman"/>
        <family val="1"/>
      </rPr>
      <t>TOTAL I ( HORS TVA)</t>
    </r>
  </si>
  <si>
    <t>TVA I (18%)</t>
  </si>
  <si>
    <t>TOTAL I (TTC)</t>
  </si>
  <si>
    <t>I</t>
  </si>
  <si>
    <t>TOTAL I  (TTC)</t>
  </si>
  <si>
    <t>RECAPULATIF DES MONTANTS HORS TVA ET TTC</t>
  </si>
  <si>
    <t xml:space="preserve">Prix Unitaire </t>
  </si>
  <si>
    <t xml:space="preserve">Montant Total  </t>
  </si>
  <si>
    <t xml:space="preserve">Montant Total </t>
  </si>
  <si>
    <t>4.2</t>
  </si>
  <si>
    <t>4.3</t>
  </si>
  <si>
    <t>1.5</t>
  </si>
  <si>
    <t>Traitement des micro fissures de l'ETA avec du sikalite</t>
  </si>
  <si>
    <t>Béton armé pour dallage dosé à 300 kg/m3 et socles d'épaisseur 10 cm  y compris chape incorporée et bouchardée (armatures par quadrillage en HA 6, espacement 15 cm dans les deux directions)</t>
  </si>
  <si>
    <t>PLANTATION D'ARBRES</t>
  </si>
  <si>
    <t>7.1</t>
  </si>
  <si>
    <t>Fourniture, plantation d'arbres et protection avec grilles y compris toutes sujétions</t>
  </si>
  <si>
    <t>Sous-total 7 : plantation d'arbres</t>
  </si>
  <si>
    <t>II</t>
  </si>
  <si>
    <t>III</t>
  </si>
  <si>
    <t>TVA GENERAL 18 %</t>
  </si>
  <si>
    <t>TOTAL I (HTVA)</t>
  </si>
  <si>
    <t>TOTAL II (HTVA)</t>
  </si>
  <si>
    <t>TOTAL II (TTC)</t>
  </si>
  <si>
    <t>TOTAL III. TTC</t>
  </si>
  <si>
    <t>TVA III (18%)</t>
  </si>
  <si>
    <r>
      <t> </t>
    </r>
    <r>
      <rPr>
        <b/>
        <sz val="10"/>
        <color rgb="FF000000"/>
        <rFont val="Times New Roman"/>
        <family val="1"/>
      </rPr>
      <t>TOTAL III ( HORS TVA)</t>
    </r>
  </si>
  <si>
    <t>TVA II (18%)</t>
  </si>
  <si>
    <r>
      <t> </t>
    </r>
    <r>
      <rPr>
        <b/>
        <sz val="10"/>
        <color rgb="FF000000"/>
        <rFont val="Times New Roman"/>
        <family val="1"/>
      </rPr>
      <t>TOTAL II ( HORS TVA)</t>
    </r>
  </si>
  <si>
    <t>TOTAL GENERAL (1) HTVA - TRANCHE FERME</t>
  </si>
  <si>
    <t>TVA GENERAL 18%</t>
  </si>
  <si>
    <t>TOTAL GENERAL (1) TTC - TRANCHE FERME</t>
  </si>
  <si>
    <t>RECAPULATIF DES MONTANTS HTVA ET TTC</t>
  </si>
  <si>
    <t xml:space="preserve">Fouilles en rigole  (536 x 40 x 40) cm pour semelles filante de la terrasse ;  de (503 x 40 x 40) cm pour rampe et de (393 x 40 x 40) cm pour marche </t>
  </si>
  <si>
    <t>m3</t>
  </si>
  <si>
    <t>1.6</t>
  </si>
  <si>
    <t xml:space="preserve">Decapage de la chape et évacuation des gravats  hors du site </t>
  </si>
  <si>
    <t>m2</t>
  </si>
  <si>
    <t>4.4</t>
  </si>
  <si>
    <t>Fourniture et pose d'un panneau sandwich pour l'isolation acoustique entre les salles de classes</t>
  </si>
  <si>
    <r>
      <t>m</t>
    </r>
    <r>
      <rPr>
        <vertAlign val="superscript"/>
        <sz val="11"/>
        <color theme="1"/>
        <rFont val="Times New Roman"/>
        <family val="1"/>
      </rPr>
      <t>2</t>
    </r>
  </si>
  <si>
    <r>
      <t>Porte  métallique persiennée à deux battants de (120 x 220) cm avec cadres en double H (PCMPF-01)  y compris antirouille, cadenas et chaine pour fermeture.</t>
    </r>
    <r>
      <rPr>
        <sz val="11"/>
        <color theme="1"/>
        <rFont val="Times New Roman"/>
        <family val="1"/>
      </rPr>
      <t xml:space="preserve"> Epaisseur de tôle en 10/12</t>
    </r>
  </si>
  <si>
    <t>TOTAL II. TTC</t>
  </si>
  <si>
    <t>Grattage, nettoyage de l'ancien enduit tyrolien sur murs extérieurs</t>
  </si>
  <si>
    <t>Enduit  tyrolien sur murs extérieurs (ancienne maçonnerie + nouvelle maçonnerie), teinte au choix du maître d'ouvrage</t>
  </si>
  <si>
    <t>Gouttière principale sous la forme demi-ronde en tôle prélaquée (35/100) y compris toutes sujétions pour évacuation des eaux pluviales provenat de la toiture</t>
  </si>
  <si>
    <t xml:space="preserve">Gouttière secondaire (descente de la gouttière princcipale) / tuyaux PVC  de  diamètre 100 mm (02  par salle de classe) y compris toutes sujétions pour évacuation des eaux pluviales de la gouttière principale jusqu'au sol </t>
  </si>
  <si>
    <t xml:space="preserve">Bardage en tôle acier galvanisé prélaqué (0,5 mm d'épaisseur) y compris toutes sujétions </t>
  </si>
  <si>
    <t>4.5</t>
  </si>
  <si>
    <t>Protection des tuyaux PVC en briques alvéolée / briques creuses</t>
  </si>
  <si>
    <t>4.6</t>
  </si>
  <si>
    <t xml:space="preserve">Support en béton armé (40 x 40 x 40) cm dosé à 350 kg/m3 pour  brique creuses </t>
  </si>
  <si>
    <t>4.7</t>
  </si>
  <si>
    <t>U</t>
  </si>
  <si>
    <t>Réceptacle infiltrant enterré pour eaux pluviales ( 60 x 60 x30) cm  y compris toutes sujétions (fouille; remplissage 80 cm en pierres puis 20 cm en sable;</t>
  </si>
  <si>
    <r>
      <t>Fenêtre à châssis métallique persiennée à lames orientables comportant 03 volets dont celui du milieu est fixe tandis que les deux extrémitées s'ouvrent à la française (FCMPF.01)  avec des cadres en double H de (180x120) cm, é</t>
    </r>
    <r>
      <rPr>
        <sz val="11"/>
        <color theme="1"/>
        <rFont val="Times New Roman"/>
        <family val="1"/>
      </rPr>
      <t>paisseur de tôle en 10/12</t>
    </r>
    <r>
      <rPr>
        <sz val="11"/>
        <color rgb="FF000000"/>
        <rFont val="Times New Roman"/>
        <family val="1"/>
      </rPr>
      <t xml:space="preserve"> y compris antirouille, câle de fenêtres et  toutes sujétions</t>
    </r>
  </si>
  <si>
    <t>Main courante / garde fou suivant plan (hauteur = 60 cm) en tube rond galvanisé de diamètre 25 mm (espacé dans le sens vertical de 15 cm axe en axe) et de diamètre 32 mm (espacé dans le sens horizontal de 20 cm axe en axe)</t>
  </si>
  <si>
    <t>Peinture faume sur murs intérieurs y compris toutes sujétions</t>
  </si>
  <si>
    <t>Peinture vinylique 2 couches sur murs intérieurs y compris toutes sujétions</t>
  </si>
  <si>
    <t>Réceptacle infiltrant enterré pour eaux pluviales ( 60 x 60 x 30) cm  y compris toutes sujétions (fouille; remplissage 80 cm en pierres puis 20 cm en sable;</t>
  </si>
  <si>
    <t>DEVIS ESTIMATIF DU TYPE D : ETA QUATRE (04) SALLES DE CLASSE - ECOLE DAKONSIN</t>
  </si>
  <si>
    <r>
      <t xml:space="preserve">                    </t>
    </r>
    <r>
      <rPr>
        <b/>
        <sz val="11"/>
        <color rgb="FF000000"/>
        <rFont val="Times New Roman"/>
        <family val="1"/>
      </rPr>
      <t>I.</t>
    </r>
    <r>
      <rPr>
        <b/>
        <sz val="7"/>
        <color rgb="FF000000"/>
        <rFont val="Times New Roman"/>
        <family val="1"/>
      </rPr>
      <t xml:space="preserve">            </t>
    </r>
    <r>
      <rPr>
        <b/>
        <sz val="11"/>
        <color rgb="FF000000"/>
        <rFont val="Times New Roman"/>
        <family val="1"/>
      </rPr>
      <t>TRAVAUX DE TRANFORMATION DE QUATRE (04) ETA EN  QUATRE (04) SALLES DE CLASSE (ECOLE DAKONSIN)</t>
    </r>
  </si>
  <si>
    <t>TRAVAUX DE TRANFORMATION DE (04) ETA EN  QUATRE (04) SALLE DE CLASSE - ECOLE DAKONSIN</t>
  </si>
  <si>
    <t>DEVIS ESTIMATIF DU TYPE A1: ETA UNE (01) SALLE DE CLASSE A 04 MURS (ECOLE LESZOTENGA)</t>
  </si>
  <si>
    <t xml:space="preserve">TRAVAUX DE TRANFORMATION D'UN (01) ETA EN  UNE (01) SALLE DE CLASSE - TYPE A1 (ECOLE LESZOTENGA) </t>
  </si>
  <si>
    <t>DEVIS ESTIMATIF DU TYPE B : ETA DEUX (02) SALLES DE CLASSE (ECOLE NIOUGHIN)</t>
  </si>
  <si>
    <r>
      <t xml:space="preserve">                    </t>
    </r>
    <r>
      <rPr>
        <b/>
        <sz val="11"/>
        <color rgb="FF000000"/>
        <rFont val="Times New Roman"/>
        <family val="1"/>
      </rPr>
      <t>I.</t>
    </r>
    <r>
      <rPr>
        <b/>
        <sz val="7"/>
        <color rgb="FF000000"/>
        <rFont val="Times New Roman"/>
        <family val="1"/>
      </rPr>
      <t xml:space="preserve">            </t>
    </r>
    <r>
      <rPr>
        <b/>
        <sz val="11"/>
        <color rgb="FF000000"/>
        <rFont val="Times New Roman"/>
        <family val="1"/>
      </rPr>
      <t>TRAVAUX DE TRANFORMATION DE DEUX (02) ETA EN  DEUX (02) SALLES DE CLASSE (ECOLE NIOUGHIN)</t>
    </r>
  </si>
  <si>
    <t>DEVIS ESTIMATIF DU TYPE A1: ETA UNE (01) SALLE DE CLASSE A 04 MURS (ECOLE NIOUGHIN - SUITE)</t>
  </si>
  <si>
    <r>
      <t xml:space="preserve">                    </t>
    </r>
    <r>
      <rPr>
        <b/>
        <sz val="11"/>
        <color rgb="FF000000"/>
        <rFont val="Times New Roman"/>
        <family val="1"/>
      </rPr>
      <t>II.</t>
    </r>
    <r>
      <rPr>
        <b/>
        <sz val="7"/>
        <color rgb="FF000000"/>
        <rFont val="Times New Roman"/>
        <family val="1"/>
      </rPr>
      <t xml:space="preserve">            </t>
    </r>
    <r>
      <rPr>
        <b/>
        <sz val="11"/>
        <color rgb="FF000000"/>
        <rFont val="Times New Roman"/>
        <family val="1"/>
      </rPr>
      <t>TRAVAUX DE TRANFORMATION D'UN (01) ETA EN  UNE (01) SALLE DE CLASSE (ECOLE NIOUGHIN - SUITE)</t>
    </r>
  </si>
  <si>
    <r>
      <t xml:space="preserve">                    </t>
    </r>
    <r>
      <rPr>
        <b/>
        <sz val="11"/>
        <color rgb="FF000000"/>
        <rFont val="Times New Roman"/>
        <family val="1"/>
      </rPr>
      <t>III.</t>
    </r>
    <r>
      <rPr>
        <b/>
        <sz val="7"/>
        <color rgb="FF000000"/>
        <rFont val="Times New Roman"/>
        <family val="1"/>
      </rPr>
      <t xml:space="preserve">            </t>
    </r>
    <r>
      <rPr>
        <b/>
        <sz val="11"/>
        <color rgb="FF000000"/>
        <rFont val="Times New Roman"/>
        <family val="1"/>
      </rPr>
      <t>TRAVAUX DE TRANFORMATION D'UN (01) ETA EN  UNE (01) SALLE DE CLASSE (ECOLE LESZOTENGA)</t>
    </r>
  </si>
  <si>
    <t>TOTAL GENERAL (I + II + III) en HTVA - Tranche Ferme</t>
  </si>
  <si>
    <t>TOTAL GENERAL (I + II + III) en TTC - Tranche Ferme</t>
  </si>
  <si>
    <t xml:space="preserve">TRAVAUX DE TRANFORMATION D'UN (01) ETA EN  UNE (01) SALLE DE CLASSE - TYPE A1 (ECOLE NIOUGHIN - SUITE) </t>
  </si>
  <si>
    <t xml:space="preserve">TRAVAUX DE TRANFORMATION DE DEUX (02) ETA EN DEUX (02) SALLES DE CLASSES - TYPE B (ECOLE NIOUGHIN)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</si>
</sst>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1" formatCode="_-* #,##0_-;\-* #,##0_-;_-* &quot;-&quot;_-;_-@_-"/>
    <numFmt numFmtId="164" formatCode="_-* #,##0.00\ &quot;CHF&quot;_-;\-* #,##0.00\ &quot;CHF&quot;_-;_-* &quot;-&quot;??\ &quot;CHF&quot;_-;_-@_-"/>
    <numFmt numFmtId="165" formatCode="0.000"/>
    <numFmt numFmtId="166" formatCode="_-* #,##0\ [$CFA-340C]_-;\-* #,##0\ [$CFA-340C]_-;_-* &quot;-&quot;??\ [$CFA-340C]_-;_-@_-"/>
    <numFmt numFmtId="167" formatCode="_-* #,##0.00\ [$€-40C]_-;\-* #,##0.00\ [$€-40C]_-;_-* &quot;-&quot;??\ [$€-40C]_-;_-@_-"/>
  </numFmts>
  <fonts count="17" x14ac:knownFonts="1">
    <font>
      <sz val="11"/>
      <color theme="1"/>
      <name val="Calibri"/>
      <family val="2"/>
      <scheme val="minor"/>
    </font>
    <font>
      <sz val="11"/>
      <color theme="1"/>
      <name val="Calibri"/>
      <family val="2"/>
      <scheme val="minor"/>
    </font>
    <font>
      <b/>
      <sz val="7"/>
      <color rgb="FF000000"/>
      <name val="Times New Roman"/>
      <family val="1"/>
    </font>
    <font>
      <b/>
      <sz val="11"/>
      <color theme="1"/>
      <name val="Times New Roman"/>
      <family val="1"/>
    </font>
    <font>
      <sz val="11"/>
      <color theme="1"/>
      <name val="Times New Roman"/>
      <family val="1"/>
    </font>
    <font>
      <b/>
      <sz val="11"/>
      <color rgb="FF000000"/>
      <name val="Times New Roman"/>
      <family val="1"/>
    </font>
    <font>
      <sz val="11"/>
      <color rgb="FF000000"/>
      <name val="Times New Roman"/>
      <family val="1"/>
    </font>
    <font>
      <sz val="11"/>
      <color rgb="FFFF0000"/>
      <name val="Times New Roman"/>
      <family val="1"/>
    </font>
    <font>
      <vertAlign val="superscript"/>
      <sz val="11"/>
      <color theme="1"/>
      <name val="Times New Roman"/>
      <family val="1"/>
    </font>
    <font>
      <vertAlign val="superscript"/>
      <sz val="11"/>
      <color rgb="FF000000"/>
      <name val="Times New Roman"/>
      <family val="1"/>
    </font>
    <font>
      <b/>
      <sz val="10"/>
      <color rgb="FF000000"/>
      <name val="Times New Roman"/>
      <family val="1"/>
    </font>
    <font>
      <b/>
      <sz val="11"/>
      <color theme="1"/>
      <name val="Calibri"/>
      <family val="2"/>
      <scheme val="minor"/>
    </font>
    <font>
      <b/>
      <sz val="14"/>
      <color theme="1"/>
      <name val="Calibri"/>
      <family val="2"/>
      <scheme val="minor"/>
    </font>
    <font>
      <b/>
      <sz val="12"/>
      <color theme="1"/>
      <name val="Calibri"/>
      <family val="2"/>
      <scheme val="minor"/>
    </font>
    <font>
      <sz val="11"/>
      <name val="Times New Roman"/>
      <family val="1"/>
    </font>
    <font>
      <b/>
      <sz val="11"/>
      <name val="Times New Roman"/>
      <family val="1"/>
    </font>
    <font>
      <sz val="11"/>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41" fontId="1" fillId="0" borderId="0" applyFont="0" applyFill="0" applyBorder="0" applyAlignment="0" applyProtection="0"/>
  </cellStyleXfs>
  <cellXfs count="83">
    <xf numFmtId="0" fontId="0" fillId="0" borderId="0" xfId="0"/>
    <xf numFmtId="0" fontId="4" fillId="0" borderId="0" xfId="0" applyFont="1"/>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166" fontId="3" fillId="0" borderId="1" xfId="1" applyNumberFormat="1" applyFont="1" applyBorder="1" applyAlignment="1">
      <alignment horizontal="center" vertical="center" wrapText="1"/>
    </xf>
    <xf numFmtId="49" fontId="6" fillId="0" borderId="1" xfId="0" applyNumberFormat="1" applyFont="1" applyBorder="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xf>
    <xf numFmtId="166" fontId="6" fillId="0" borderId="1" xfId="1" applyNumberFormat="1" applyFont="1" applyBorder="1" applyAlignment="1">
      <alignment horizontal="right" vertical="center"/>
    </xf>
    <xf numFmtId="0" fontId="6" fillId="0" borderId="1" xfId="0" applyFont="1" applyBorder="1" applyAlignment="1">
      <alignment horizontal="center" vertical="center" wrapText="1"/>
    </xf>
    <xf numFmtId="166" fontId="6" fillId="0" borderId="1" xfId="1" applyNumberFormat="1" applyFont="1" applyBorder="1" applyAlignment="1">
      <alignment horizontal="right" vertical="center" wrapText="1"/>
    </xf>
    <xf numFmtId="0" fontId="7" fillId="0" borderId="0" xfId="0" applyFont="1"/>
    <xf numFmtId="166" fontId="5" fillId="0" borderId="1" xfId="1" applyNumberFormat="1" applyFont="1" applyBorder="1" applyAlignment="1">
      <alignment horizontal="right" vertical="center"/>
    </xf>
    <xf numFmtId="49" fontId="6" fillId="0" borderId="1" xfId="0" applyNumberFormat="1" applyFont="1" applyBorder="1" applyAlignment="1">
      <alignment horizontal="center" vertical="center"/>
    </xf>
    <xf numFmtId="165" fontId="6"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0" fontId="5" fillId="0" borderId="0" xfId="0" applyFon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left" vertical="center" wrapText="1"/>
    </xf>
    <xf numFmtId="0" fontId="3" fillId="0" borderId="0" xfId="0" applyFont="1" applyAlignment="1">
      <alignment horizontal="center" vertical="center" wrapText="1"/>
    </xf>
    <xf numFmtId="0" fontId="5" fillId="0" borderId="0" xfId="0" applyFont="1" applyAlignment="1">
      <alignment horizontal="center" vertical="center" wrapText="1"/>
    </xf>
    <xf numFmtId="166" fontId="5" fillId="0" borderId="0" xfId="1" applyNumberFormat="1" applyFont="1" applyBorder="1" applyAlignment="1">
      <alignment horizontal="right" vertical="center"/>
    </xf>
    <xf numFmtId="166" fontId="5" fillId="0" borderId="1" xfId="1" applyNumberFormat="1" applyFont="1" applyBorder="1" applyAlignment="1">
      <alignment horizontal="center" vertical="center"/>
    </xf>
    <xf numFmtId="166" fontId="3" fillId="0" borderId="1" xfId="0" applyNumberFormat="1" applyFont="1" applyBorder="1" applyAlignment="1">
      <alignment horizontal="center" vertical="center"/>
    </xf>
    <xf numFmtId="0" fontId="5" fillId="0" borderId="1" xfId="0" applyFont="1" applyBorder="1" applyAlignment="1">
      <alignment horizontal="right" vertical="center" wrapText="1"/>
    </xf>
    <xf numFmtId="41" fontId="6" fillId="0" borderId="1" xfId="2" applyFont="1" applyBorder="1" applyAlignment="1">
      <alignment horizontal="center" vertical="center" wrapText="1"/>
    </xf>
    <xf numFmtId="0" fontId="5" fillId="0" borderId="1" xfId="0" applyFont="1" applyBorder="1" applyAlignment="1">
      <alignment horizontal="center"/>
    </xf>
    <xf numFmtId="0" fontId="5" fillId="0" borderId="1" xfId="0" applyFont="1" applyBorder="1" applyAlignment="1">
      <alignment horizontal="center" wrapText="1"/>
    </xf>
    <xf numFmtId="166" fontId="12" fillId="0" borderId="1" xfId="0" applyNumberFormat="1" applyFont="1" applyBorder="1"/>
    <xf numFmtId="167" fontId="12" fillId="0" borderId="1" xfId="0" applyNumberFormat="1" applyFont="1" applyBorder="1"/>
    <xf numFmtId="165" fontId="6" fillId="0" borderId="1" xfId="0" applyNumberFormat="1" applyFont="1" applyBorder="1" applyAlignment="1">
      <alignment horizontal="center" vertical="center" wrapText="1"/>
    </xf>
    <xf numFmtId="0" fontId="7" fillId="0" borderId="0" xfId="0" applyFont="1" applyAlignment="1">
      <alignment vertical="top" wrapText="1"/>
    </xf>
    <xf numFmtId="49" fontId="4" fillId="0" borderId="1" xfId="0" applyNumberFormat="1" applyFont="1" applyBorder="1" applyAlignment="1">
      <alignment horizontal="left" vertical="center"/>
    </xf>
    <xf numFmtId="0" fontId="4" fillId="0" borderId="1" xfId="0" applyFont="1" applyBorder="1" applyAlignment="1">
      <alignment horizontal="left" vertical="center" wrapText="1"/>
    </xf>
    <xf numFmtId="166" fontId="4" fillId="0" borderId="1" xfId="1" applyNumberFormat="1" applyFont="1" applyBorder="1" applyAlignment="1">
      <alignment horizontal="right" vertical="center" wrapText="1"/>
    </xf>
    <xf numFmtId="0" fontId="4" fillId="0" borderId="0" xfId="0" applyFont="1" applyAlignment="1">
      <alignment wrapText="1"/>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7" fillId="0" borderId="0" xfId="0" applyFont="1" applyAlignment="1">
      <alignment wrapText="1"/>
    </xf>
    <xf numFmtId="0" fontId="4" fillId="0" borderId="0" xfId="0" applyFont="1" applyAlignment="1">
      <alignment vertical="center"/>
    </xf>
    <xf numFmtId="0" fontId="6" fillId="2" borderId="1" xfId="0" applyFont="1" applyFill="1" applyBorder="1" applyAlignment="1">
      <alignment horizontal="left" vertical="center" wrapText="1"/>
    </xf>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166" fontId="6" fillId="2" borderId="1" xfId="1" applyNumberFormat="1" applyFont="1" applyFill="1" applyBorder="1" applyAlignment="1">
      <alignment horizontal="right" vertical="center"/>
    </xf>
    <xf numFmtId="0" fontId="4" fillId="0" borderId="0" xfId="0" applyFont="1" applyAlignment="1">
      <alignment horizontal="center" vertical="center"/>
    </xf>
    <xf numFmtId="166" fontId="14" fillId="0" borderId="1" xfId="1" applyNumberFormat="1" applyFont="1" applyFill="1" applyBorder="1" applyAlignment="1">
      <alignment horizontal="right" vertical="center"/>
    </xf>
    <xf numFmtId="0" fontId="4" fillId="0" borderId="0" xfId="0" applyFont="1" applyAlignment="1">
      <alignment horizontal="center"/>
    </xf>
    <xf numFmtId="0" fontId="15" fillId="0" borderId="0" xfId="0" applyFont="1" applyAlignment="1">
      <alignment horizontal="center" vertical="center" wrapText="1"/>
    </xf>
    <xf numFmtId="166" fontId="15" fillId="0" borderId="1" xfId="1" applyNumberFormat="1" applyFont="1" applyFill="1" applyBorder="1" applyAlignment="1">
      <alignment horizontal="center" vertical="center" wrapText="1"/>
    </xf>
    <xf numFmtId="166" fontId="14" fillId="0" borderId="1" xfId="1" applyNumberFormat="1" applyFont="1" applyFill="1" applyBorder="1" applyAlignment="1">
      <alignment horizontal="right" vertical="center" wrapText="1"/>
    </xf>
    <xf numFmtId="166" fontId="14" fillId="0" borderId="0" xfId="1" applyNumberFormat="1" applyFont="1" applyFill="1" applyAlignment="1">
      <alignment horizontal="right"/>
    </xf>
    <xf numFmtId="41" fontId="14" fillId="0" borderId="1" xfId="2" applyFont="1" applyFill="1" applyBorder="1" applyAlignment="1">
      <alignment horizontal="center" vertical="center" wrapText="1"/>
    </xf>
    <xf numFmtId="166" fontId="15" fillId="0" borderId="0" xfId="1" applyNumberFormat="1" applyFont="1" applyFill="1" applyBorder="1" applyAlignment="1">
      <alignment horizontal="right" vertical="center" wrapText="1"/>
    </xf>
    <xf numFmtId="0" fontId="16" fillId="0" borderId="0" xfId="0" applyFont="1"/>
    <xf numFmtId="0" fontId="15" fillId="0" borderId="1" xfId="0" applyFont="1" applyBorder="1" applyAlignment="1">
      <alignment vertical="center" wrapText="1"/>
    </xf>
    <xf numFmtId="0" fontId="15" fillId="0" borderId="1" xfId="0" applyFont="1" applyBorder="1" applyAlignment="1">
      <alignment horizontal="left" vertical="center" wrapText="1"/>
    </xf>
    <xf numFmtId="166" fontId="4" fillId="0" borderId="1" xfId="1" applyNumberFormat="1" applyFont="1" applyBorder="1" applyAlignment="1">
      <alignment horizontal="right" vertical="center"/>
    </xf>
    <xf numFmtId="0" fontId="4" fillId="0" borderId="0" xfId="0" applyFont="1" applyAlignment="1">
      <alignment vertical="top" wrapText="1"/>
    </xf>
    <xf numFmtId="166" fontId="4" fillId="0" borderId="1" xfId="1" applyNumberFormat="1" applyFont="1" applyFill="1" applyBorder="1" applyAlignment="1">
      <alignment horizontal="right" vertical="center"/>
    </xf>
    <xf numFmtId="166" fontId="4" fillId="0" borderId="0" xfId="1" applyNumberFormat="1" applyFont="1" applyAlignment="1">
      <alignment horizontal="right"/>
    </xf>
    <xf numFmtId="166" fontId="5" fillId="0" borderId="0" xfId="1" applyNumberFormat="1" applyFont="1" applyBorder="1" applyAlignment="1">
      <alignment horizontal="center" vertical="center"/>
    </xf>
    <xf numFmtId="0" fontId="5" fillId="0" borderId="1" xfId="0" applyFont="1" applyBorder="1" applyAlignment="1">
      <alignment horizontal="left" vertical="center" wrapText="1"/>
    </xf>
    <xf numFmtId="0" fontId="5" fillId="0" borderId="1" xfId="0" applyFont="1" applyBorder="1" applyAlignment="1">
      <alignment horizontal="right" vertical="center" wrapText="1"/>
    </xf>
    <xf numFmtId="0" fontId="5" fillId="0" borderId="1" xfId="0" applyFont="1" applyBorder="1" applyAlignment="1">
      <alignment horizontal="center" vertical="center" wrapText="1"/>
    </xf>
    <xf numFmtId="0" fontId="3" fillId="0" borderId="0" xfId="0" applyFont="1" applyAlignment="1">
      <alignment horizontal="center" vertical="center" wrapText="1"/>
    </xf>
    <xf numFmtId="0" fontId="2" fillId="0" borderId="1" xfId="0" applyFont="1" applyBorder="1" applyAlignment="1">
      <alignment horizontal="center" vertical="center" wrapText="1"/>
    </xf>
    <xf numFmtId="0" fontId="13" fillId="0" borderId="2" xfId="0" applyFont="1" applyBorder="1" applyAlignment="1">
      <alignment horizontal="center"/>
    </xf>
    <xf numFmtId="0" fontId="13" fillId="0" borderId="3" xfId="0" applyFont="1" applyBorder="1" applyAlignment="1">
      <alignment horizontal="center"/>
    </xf>
    <xf numFmtId="0" fontId="13" fillId="0" borderId="4" xfId="0" applyFont="1" applyBorder="1" applyAlignment="1">
      <alignment horizontal="center"/>
    </xf>
    <xf numFmtId="0" fontId="11" fillId="0" borderId="2" xfId="0" applyFont="1" applyBorder="1" applyAlignment="1">
      <alignment horizontal="center"/>
    </xf>
    <xf numFmtId="0" fontId="11" fillId="0" borderId="3" xfId="0" applyFont="1" applyBorder="1" applyAlignment="1">
      <alignment horizontal="center"/>
    </xf>
    <xf numFmtId="0" fontId="11" fillId="0" borderId="4" xfId="0"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11" fillId="0" borderId="1" xfId="0" applyFont="1" applyBorder="1" applyAlignment="1">
      <alignment horizontal="center"/>
    </xf>
    <xf numFmtId="0" fontId="0" fillId="0" borderId="1" xfId="0" applyBorder="1" applyAlignment="1">
      <alignment horizont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right" vertical="center" wrapText="1"/>
    </xf>
    <xf numFmtId="0" fontId="5" fillId="0" borderId="3" xfId="0" applyFont="1" applyBorder="1" applyAlignment="1">
      <alignment horizontal="right" vertical="center" wrapText="1"/>
    </xf>
    <xf numFmtId="0" fontId="5" fillId="0" borderId="4" xfId="0" applyFont="1" applyBorder="1" applyAlignment="1">
      <alignment horizontal="right" vertical="center" wrapText="1"/>
    </xf>
  </cellXfs>
  <cellStyles count="3">
    <cellStyle name="Milliers [0]" xfId="2" builtinId="6"/>
    <cellStyle name="Monétaire"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0E4111-F680-4873-AE7E-B508BBDBA64D}">
  <dimension ref="A1:H66"/>
  <sheetViews>
    <sheetView tabSelected="1" topLeftCell="A51" workbookViewId="0">
      <selection activeCell="C74" sqref="C74"/>
    </sheetView>
  </sheetViews>
  <sheetFormatPr baseColWidth="10" defaultRowHeight="14.4" x14ac:dyDescent="0.3"/>
  <cols>
    <col min="1" max="1" width="5.109375" customWidth="1"/>
    <col min="2" max="2" width="40.33203125" customWidth="1"/>
    <col min="3" max="3" width="8.5546875" customWidth="1"/>
    <col min="5" max="5" width="17.33203125" style="53" customWidth="1"/>
    <col min="6" max="6" width="24.33203125" customWidth="1"/>
    <col min="7" max="7" width="20.88671875" customWidth="1"/>
  </cols>
  <sheetData>
    <row r="1" spans="1:7" s="1" customFormat="1" ht="13.8" x14ac:dyDescent="0.25">
      <c r="A1" s="64" t="s">
        <v>130</v>
      </c>
      <c r="B1" s="64"/>
      <c r="C1" s="64"/>
      <c r="D1" s="64"/>
      <c r="E1" s="64"/>
      <c r="F1" s="64"/>
    </row>
    <row r="2" spans="1:7" s="1" customFormat="1" ht="13.8" x14ac:dyDescent="0.25">
      <c r="A2" s="19"/>
      <c r="B2" s="19"/>
      <c r="C2" s="19"/>
      <c r="D2" s="19"/>
      <c r="E2" s="47"/>
      <c r="F2" s="19"/>
    </row>
    <row r="3" spans="1:7" s="1" customFormat="1" ht="31.5" customHeight="1" x14ac:dyDescent="0.25">
      <c r="A3" s="65" t="s">
        <v>131</v>
      </c>
      <c r="B3" s="65"/>
      <c r="C3" s="65"/>
      <c r="D3" s="65"/>
      <c r="E3" s="65"/>
      <c r="F3" s="65"/>
    </row>
    <row r="4" spans="1:7" s="1" customFormat="1" ht="13.8" x14ac:dyDescent="0.25">
      <c r="A4" s="2" t="s">
        <v>0</v>
      </c>
      <c r="B4" s="3" t="s">
        <v>1</v>
      </c>
      <c r="C4" s="3" t="s">
        <v>2</v>
      </c>
      <c r="D4" s="3" t="s">
        <v>15</v>
      </c>
      <c r="E4" s="48" t="s">
        <v>76</v>
      </c>
      <c r="F4" s="4" t="s">
        <v>78</v>
      </c>
      <c r="G4" s="11"/>
    </row>
    <row r="5" spans="1:7" s="1" customFormat="1" ht="13.8" x14ac:dyDescent="0.25">
      <c r="A5" s="2">
        <v>1</v>
      </c>
      <c r="B5" s="61" t="s">
        <v>3</v>
      </c>
      <c r="C5" s="61"/>
      <c r="D5" s="61"/>
      <c r="E5" s="61"/>
      <c r="F5" s="61"/>
    </row>
    <row r="6" spans="1:7" s="1" customFormat="1" ht="13.8" x14ac:dyDescent="0.25">
      <c r="A6" s="5" t="s">
        <v>20</v>
      </c>
      <c r="B6" s="6" t="s">
        <v>61</v>
      </c>
      <c r="C6" s="9" t="s">
        <v>5</v>
      </c>
      <c r="D6" s="7">
        <v>1</v>
      </c>
      <c r="E6" s="45"/>
      <c r="F6" s="8">
        <f>+E6*D6</f>
        <v>0</v>
      </c>
    </row>
    <row r="7" spans="1:7" s="11" customFormat="1" ht="41.4" x14ac:dyDescent="0.25">
      <c r="A7" s="5" t="s">
        <v>21</v>
      </c>
      <c r="B7" s="6" t="s">
        <v>52</v>
      </c>
      <c r="C7" s="9" t="s">
        <v>4</v>
      </c>
      <c r="D7" s="9">
        <f>0.3*1*31</f>
        <v>9.2999999999999989</v>
      </c>
      <c r="E7" s="49"/>
      <c r="F7" s="8">
        <f t="shared" ref="F7:F11" si="0">+E7*D7</f>
        <v>0</v>
      </c>
    </row>
    <row r="8" spans="1:7" s="11" customFormat="1" ht="30" customHeight="1" x14ac:dyDescent="0.25">
      <c r="A8" s="5" t="s">
        <v>22</v>
      </c>
      <c r="B8" s="6" t="s">
        <v>82</v>
      </c>
      <c r="C8" s="9" t="s">
        <v>5</v>
      </c>
      <c r="D8" s="9">
        <v>1</v>
      </c>
      <c r="E8" s="49"/>
      <c r="F8" s="8">
        <f t="shared" si="0"/>
        <v>0</v>
      </c>
    </row>
    <row r="9" spans="1:7" s="11" customFormat="1" ht="70.5" customHeight="1" x14ac:dyDescent="0.25">
      <c r="A9" s="5" t="s">
        <v>23</v>
      </c>
      <c r="B9" s="6" t="s">
        <v>103</v>
      </c>
      <c r="C9" s="15" t="s">
        <v>65</v>
      </c>
      <c r="D9" s="30">
        <f>((5.36+5.03*3.93)*0.4*0.4)*8</f>
        <v>32.163712000000004</v>
      </c>
      <c r="E9" s="49"/>
      <c r="F9" s="8">
        <f t="shared" si="0"/>
        <v>0</v>
      </c>
      <c r="G9" s="31"/>
    </row>
    <row r="10" spans="1:7" s="11" customFormat="1" ht="63.75" customHeight="1" x14ac:dyDescent="0.25">
      <c r="A10" s="5" t="s">
        <v>81</v>
      </c>
      <c r="B10" s="6" t="s">
        <v>6</v>
      </c>
      <c r="C10" s="15" t="s">
        <v>104</v>
      </c>
      <c r="D10" s="9">
        <f>3.2*1*0.45*8</f>
        <v>11.520000000000001</v>
      </c>
      <c r="E10" s="49"/>
      <c r="F10" s="8">
        <f t="shared" si="0"/>
        <v>0</v>
      </c>
      <c r="G10" s="31"/>
    </row>
    <row r="11" spans="1:7" s="1" customFormat="1" ht="30.75" customHeight="1" x14ac:dyDescent="0.25">
      <c r="A11" s="32" t="s">
        <v>105</v>
      </c>
      <c r="B11" s="33" t="s">
        <v>106</v>
      </c>
      <c r="C11" s="15" t="s">
        <v>107</v>
      </c>
      <c r="D11" s="15">
        <f>63*4</f>
        <v>252</v>
      </c>
      <c r="E11" s="49"/>
      <c r="F11" s="8">
        <f t="shared" si="0"/>
        <v>0</v>
      </c>
    </row>
    <row r="12" spans="1:7" s="1" customFormat="1" ht="13.8" x14ac:dyDescent="0.25">
      <c r="A12" s="62" t="s">
        <v>16</v>
      </c>
      <c r="B12" s="62"/>
      <c r="C12" s="62"/>
      <c r="D12" s="62"/>
      <c r="E12" s="62"/>
      <c r="F12" s="12">
        <f>SUM(F6:F11)</f>
        <v>0</v>
      </c>
    </row>
    <row r="13" spans="1:7" s="1" customFormat="1" ht="13.8" x14ac:dyDescent="0.25">
      <c r="A13" s="2">
        <v>2</v>
      </c>
      <c r="B13" s="61" t="s">
        <v>7</v>
      </c>
      <c r="C13" s="61"/>
      <c r="D13" s="61"/>
      <c r="E13" s="61"/>
      <c r="F13" s="61"/>
    </row>
    <row r="14" spans="1:7" s="1" customFormat="1" ht="16.8" x14ac:dyDescent="0.25">
      <c r="A14" s="13" t="s">
        <v>24</v>
      </c>
      <c r="B14" s="6" t="s">
        <v>54</v>
      </c>
      <c r="C14" s="15" t="s">
        <v>65</v>
      </c>
      <c r="D14" s="9">
        <f>5.2*0.4*0.05*8</f>
        <v>0.83200000000000007</v>
      </c>
      <c r="E14" s="45"/>
      <c r="F14" s="8">
        <f t="shared" ref="F14:F19" si="1">+E14*D14</f>
        <v>0</v>
      </c>
    </row>
    <row r="15" spans="1:7" s="1" customFormat="1" ht="27.6" x14ac:dyDescent="0.25">
      <c r="A15" s="13" t="s">
        <v>25</v>
      </c>
      <c r="B15" s="6" t="s">
        <v>53</v>
      </c>
      <c r="C15" s="9" t="s">
        <v>4</v>
      </c>
      <c r="D15" s="9">
        <f>5.2*0.69*8</f>
        <v>28.703999999999997</v>
      </c>
      <c r="E15" s="45"/>
      <c r="F15" s="8">
        <f t="shared" si="1"/>
        <v>0</v>
      </c>
    </row>
    <row r="16" spans="1:7" s="1" customFormat="1" ht="27.6" x14ac:dyDescent="0.25">
      <c r="A16" s="13" t="s">
        <v>26</v>
      </c>
      <c r="B16" s="6" t="s">
        <v>57</v>
      </c>
      <c r="C16" s="9" t="s">
        <v>66</v>
      </c>
      <c r="D16" s="7">
        <f>9.4*7.4*4</f>
        <v>278.24</v>
      </c>
      <c r="E16" s="45"/>
      <c r="F16" s="8">
        <f t="shared" si="1"/>
        <v>0</v>
      </c>
    </row>
    <row r="17" spans="1:6" s="1" customFormat="1" ht="69" x14ac:dyDescent="0.25">
      <c r="A17" s="13" t="s">
        <v>27</v>
      </c>
      <c r="B17" s="6" t="s">
        <v>83</v>
      </c>
      <c r="C17" s="9" t="s">
        <v>67</v>
      </c>
      <c r="D17" s="7">
        <f>9*7*0.1*4</f>
        <v>25.200000000000003</v>
      </c>
      <c r="E17" s="45"/>
      <c r="F17" s="8">
        <f t="shared" si="1"/>
        <v>0</v>
      </c>
    </row>
    <row r="18" spans="1:6" s="1" customFormat="1" ht="69" x14ac:dyDescent="0.25">
      <c r="A18" s="13" t="s">
        <v>28</v>
      </c>
      <c r="B18" s="6" t="s">
        <v>55</v>
      </c>
      <c r="C18" s="9" t="s">
        <v>67</v>
      </c>
      <c r="D18" s="7">
        <f>3.2*1*0.08*8</f>
        <v>2.048</v>
      </c>
      <c r="E18" s="45"/>
      <c r="F18" s="8">
        <f t="shared" si="1"/>
        <v>0</v>
      </c>
    </row>
    <row r="19" spans="1:6" s="1" customFormat="1" ht="55.2" x14ac:dyDescent="0.25">
      <c r="A19" s="13" t="s">
        <v>29</v>
      </c>
      <c r="B19" s="6" t="s">
        <v>56</v>
      </c>
      <c r="C19" s="9" t="s">
        <v>67</v>
      </c>
      <c r="D19" s="14">
        <f>8*(((1.03*2)+(2.16*0.9))*0.45)/2</f>
        <v>7.2072000000000012</v>
      </c>
      <c r="E19" s="45"/>
      <c r="F19" s="8">
        <f t="shared" si="1"/>
        <v>0</v>
      </c>
    </row>
    <row r="20" spans="1:6" s="1" customFormat="1" ht="13.8" x14ac:dyDescent="0.25">
      <c r="A20" s="62" t="s">
        <v>17</v>
      </c>
      <c r="B20" s="62"/>
      <c r="C20" s="62"/>
      <c r="D20" s="62"/>
      <c r="E20" s="62"/>
      <c r="F20" s="12">
        <f>SUM(F14:F19)</f>
        <v>0</v>
      </c>
    </row>
    <row r="21" spans="1:6" s="1" customFormat="1" ht="13.8" x14ac:dyDescent="0.25">
      <c r="A21" s="2">
        <v>3</v>
      </c>
      <c r="B21" s="61" t="s">
        <v>8</v>
      </c>
      <c r="C21" s="61"/>
      <c r="D21" s="61"/>
      <c r="E21" s="61"/>
      <c r="F21" s="61"/>
    </row>
    <row r="22" spans="1:6" s="1" customFormat="1" ht="51.75" customHeight="1" x14ac:dyDescent="0.25">
      <c r="A22" s="13" t="s">
        <v>30</v>
      </c>
      <c r="B22" s="6" t="s">
        <v>68</v>
      </c>
      <c r="C22" s="9" t="s">
        <v>67</v>
      </c>
      <c r="D22" s="7">
        <f>31*0.15*0.15*4</f>
        <v>2.7899999999999996</v>
      </c>
      <c r="E22" s="45"/>
      <c r="F22" s="8">
        <f>+E22*D22</f>
        <v>0</v>
      </c>
    </row>
    <row r="23" spans="1:6" s="1" customFormat="1" ht="44.4" x14ac:dyDescent="0.25">
      <c r="A23" s="13" t="s">
        <v>31</v>
      </c>
      <c r="B23" s="6" t="s">
        <v>69</v>
      </c>
      <c r="C23" s="9" t="s">
        <v>67</v>
      </c>
      <c r="D23" s="14">
        <f>108.95*0.15*0.2</f>
        <v>3.2685000000000004</v>
      </c>
      <c r="E23" s="45"/>
      <c r="F23" s="8">
        <f t="shared" ref="F23:F31" si="2">+E23*D23</f>
        <v>0</v>
      </c>
    </row>
    <row r="24" spans="1:6" s="1" customFormat="1" ht="27.6" x14ac:dyDescent="0.25">
      <c r="A24" s="13" t="s">
        <v>32</v>
      </c>
      <c r="B24" s="6" t="s">
        <v>64</v>
      </c>
      <c r="C24" s="9" t="s">
        <v>66</v>
      </c>
      <c r="D24" s="7">
        <f>+((108.95*2.9)-((4*1.8*1.2)+(2*1.2*1.1)))</f>
        <v>304.67499999999995</v>
      </c>
      <c r="E24" s="45"/>
      <c r="F24" s="8">
        <f t="shared" si="2"/>
        <v>0</v>
      </c>
    </row>
    <row r="25" spans="1:6" s="1" customFormat="1" ht="41.4" x14ac:dyDescent="0.25">
      <c r="A25" s="13" t="s">
        <v>33</v>
      </c>
      <c r="B25" s="6" t="s">
        <v>59</v>
      </c>
      <c r="C25" s="9" t="s">
        <v>66</v>
      </c>
      <c r="D25" s="7">
        <f>+D24+(7*2.9*3)</f>
        <v>365.57499999999993</v>
      </c>
      <c r="E25" s="45"/>
      <c r="F25" s="8">
        <f t="shared" si="2"/>
        <v>0</v>
      </c>
    </row>
    <row r="26" spans="1:6" s="1" customFormat="1" ht="27.6" x14ac:dyDescent="0.25">
      <c r="A26" s="13" t="s">
        <v>34</v>
      </c>
      <c r="B26" s="6" t="s">
        <v>58</v>
      </c>
      <c r="C26" s="9" t="s">
        <v>66</v>
      </c>
      <c r="D26" s="7">
        <f>+D24-(7*2.9*3)</f>
        <v>243.77499999999995</v>
      </c>
      <c r="E26" s="45"/>
      <c r="F26" s="8">
        <f t="shared" si="2"/>
        <v>0</v>
      </c>
    </row>
    <row r="27" spans="1:6" s="1" customFormat="1" ht="27.6" x14ac:dyDescent="0.25">
      <c r="A27" s="13" t="s">
        <v>35</v>
      </c>
      <c r="B27" s="6" t="s">
        <v>63</v>
      </c>
      <c r="C27" s="9" t="s">
        <v>66</v>
      </c>
      <c r="D27" s="7">
        <f>+((108.95*1.6)-((6*1.6*1.2)+(1.8*0.6*12)))</f>
        <v>149.84000000000003</v>
      </c>
      <c r="E27" s="45"/>
      <c r="F27" s="8">
        <f t="shared" si="2"/>
        <v>0</v>
      </c>
    </row>
    <row r="28" spans="1:6" s="1" customFormat="1" ht="27.6" x14ac:dyDescent="0.25">
      <c r="A28" s="13" t="s">
        <v>36</v>
      </c>
      <c r="B28" s="6" t="s">
        <v>60</v>
      </c>
      <c r="C28" s="9" t="s">
        <v>66</v>
      </c>
      <c r="D28" s="7">
        <f>6*1.4*8</f>
        <v>67.199999999999989</v>
      </c>
      <c r="E28" s="45"/>
      <c r="F28" s="8">
        <f t="shared" si="2"/>
        <v>0</v>
      </c>
    </row>
    <row r="29" spans="1:6" s="1" customFormat="1" ht="27.6" x14ac:dyDescent="0.25">
      <c r="A29" s="13" t="s">
        <v>37</v>
      </c>
      <c r="B29" s="6" t="s">
        <v>113</v>
      </c>
      <c r="C29" s="9" t="s">
        <v>66</v>
      </c>
      <c r="D29" s="7">
        <f>+((87.5)-(1.2*3))*1</f>
        <v>83.9</v>
      </c>
      <c r="E29" s="45"/>
      <c r="F29" s="8">
        <f t="shared" si="2"/>
        <v>0</v>
      </c>
    </row>
    <row r="30" spans="1:6" s="1" customFormat="1" ht="41.4" x14ac:dyDescent="0.25">
      <c r="A30" s="13" t="s">
        <v>38</v>
      </c>
      <c r="B30" s="6" t="s">
        <v>114</v>
      </c>
      <c r="C30" s="9" t="s">
        <v>66</v>
      </c>
      <c r="D30" s="7">
        <f>+D26+D29</f>
        <v>327.67499999999995</v>
      </c>
      <c r="E30" s="45"/>
      <c r="F30" s="8">
        <f t="shared" si="2"/>
        <v>0</v>
      </c>
    </row>
    <row r="31" spans="1:6" s="1" customFormat="1" ht="13.8" x14ac:dyDescent="0.25">
      <c r="A31" s="13" t="s">
        <v>39</v>
      </c>
      <c r="B31" s="6" t="s">
        <v>9</v>
      </c>
      <c r="C31" s="9" t="s">
        <v>10</v>
      </c>
      <c r="D31" s="7">
        <v>48</v>
      </c>
      <c r="E31" s="45"/>
      <c r="F31" s="8">
        <f t="shared" si="2"/>
        <v>0</v>
      </c>
    </row>
    <row r="32" spans="1:6" s="1" customFormat="1" ht="13.8" x14ac:dyDescent="0.25">
      <c r="A32" s="62" t="s">
        <v>18</v>
      </c>
      <c r="B32" s="62"/>
      <c r="C32" s="62"/>
      <c r="D32" s="62"/>
      <c r="E32" s="62"/>
      <c r="F32" s="12">
        <f>SUM(F22:F31)</f>
        <v>0</v>
      </c>
    </row>
    <row r="33" spans="1:8" s="1" customFormat="1" ht="13.8" x14ac:dyDescent="0.25">
      <c r="A33" s="2">
        <v>4</v>
      </c>
      <c r="B33" s="61" t="s">
        <v>11</v>
      </c>
      <c r="C33" s="61"/>
      <c r="D33" s="61"/>
      <c r="E33" s="61"/>
      <c r="F33" s="61"/>
    </row>
    <row r="34" spans="1:8" s="1" customFormat="1" ht="55.2" x14ac:dyDescent="0.25">
      <c r="A34" s="13" t="s">
        <v>40</v>
      </c>
      <c r="B34" s="6" t="s">
        <v>115</v>
      </c>
      <c r="C34" s="9" t="s">
        <v>12</v>
      </c>
      <c r="D34" s="9">
        <f>9.7+9.15+9.15+9.15</f>
        <v>37.15</v>
      </c>
      <c r="E34" s="45"/>
      <c r="F34" s="8">
        <f t="shared" ref="F34:F40" si="3">+E34*D34</f>
        <v>0</v>
      </c>
    </row>
    <row r="35" spans="1:8" s="1" customFormat="1" ht="69" x14ac:dyDescent="0.25">
      <c r="A35" s="13" t="s">
        <v>79</v>
      </c>
      <c r="B35" s="6" t="s">
        <v>116</v>
      </c>
      <c r="C35" s="9" t="s">
        <v>12</v>
      </c>
      <c r="D35" s="9">
        <f>(4*2)*4</f>
        <v>32</v>
      </c>
      <c r="E35" s="45"/>
      <c r="F35" s="8">
        <f t="shared" si="3"/>
        <v>0</v>
      </c>
    </row>
    <row r="36" spans="1:8" s="1" customFormat="1" ht="27.6" x14ac:dyDescent="0.25">
      <c r="A36" s="13" t="s">
        <v>80</v>
      </c>
      <c r="B36" s="6" t="s">
        <v>117</v>
      </c>
      <c r="C36" s="9" t="s">
        <v>12</v>
      </c>
      <c r="D36" s="7">
        <f>36.6+7.15*2</f>
        <v>50.900000000000006</v>
      </c>
      <c r="E36" s="45"/>
      <c r="F36" s="8">
        <f t="shared" si="3"/>
        <v>0</v>
      </c>
      <c r="H36" s="35"/>
    </row>
    <row r="37" spans="1:8" s="1" customFormat="1" ht="27.6" x14ac:dyDescent="0.25">
      <c r="A37" s="36" t="s">
        <v>108</v>
      </c>
      <c r="B37" s="33" t="s">
        <v>109</v>
      </c>
      <c r="C37" s="15" t="s">
        <v>107</v>
      </c>
      <c r="D37" s="37">
        <f>7*6*0.6</f>
        <v>25.2</v>
      </c>
      <c r="E37" s="45"/>
      <c r="F37" s="8">
        <f t="shared" si="3"/>
        <v>0</v>
      </c>
      <c r="G37" s="35"/>
    </row>
    <row r="38" spans="1:8" s="1" customFormat="1" ht="27.6" x14ac:dyDescent="0.25">
      <c r="A38" s="36" t="s">
        <v>118</v>
      </c>
      <c r="B38" s="6" t="s">
        <v>119</v>
      </c>
      <c r="C38" s="9" t="s">
        <v>66</v>
      </c>
      <c r="D38" s="7">
        <f>1.98*4*8</f>
        <v>63.36</v>
      </c>
      <c r="E38" s="45"/>
      <c r="F38" s="8">
        <f t="shared" si="3"/>
        <v>0</v>
      </c>
    </row>
    <row r="39" spans="1:8" s="1" customFormat="1" ht="27.6" x14ac:dyDescent="0.25">
      <c r="A39" s="36" t="s">
        <v>120</v>
      </c>
      <c r="B39" s="6" t="s">
        <v>121</v>
      </c>
      <c r="C39" s="9" t="s">
        <v>67</v>
      </c>
      <c r="D39" s="7">
        <f>0.4*0.4*0.4*8</f>
        <v>0.51200000000000012</v>
      </c>
      <c r="E39" s="45"/>
      <c r="F39" s="8">
        <f t="shared" si="3"/>
        <v>0</v>
      </c>
    </row>
    <row r="40" spans="1:8" s="1" customFormat="1" ht="55.2" x14ac:dyDescent="0.25">
      <c r="A40" s="36" t="s">
        <v>122</v>
      </c>
      <c r="B40" s="6" t="s">
        <v>129</v>
      </c>
      <c r="C40" s="9" t="s">
        <v>123</v>
      </c>
      <c r="D40" s="7">
        <v>8</v>
      </c>
      <c r="E40" s="45"/>
      <c r="F40" s="8">
        <f t="shared" si="3"/>
        <v>0</v>
      </c>
    </row>
    <row r="41" spans="1:8" s="1" customFormat="1" ht="13.8" x14ac:dyDescent="0.25">
      <c r="A41" s="62" t="s">
        <v>19</v>
      </c>
      <c r="B41" s="62"/>
      <c r="C41" s="62"/>
      <c r="D41" s="62"/>
      <c r="E41" s="62"/>
      <c r="F41" s="12">
        <f>SUM(F34:F40)</f>
        <v>0</v>
      </c>
    </row>
    <row r="42" spans="1:8" s="1" customFormat="1" ht="13.8" x14ac:dyDescent="0.25">
      <c r="A42" s="2">
        <v>5</v>
      </c>
      <c r="B42" s="61" t="s">
        <v>48</v>
      </c>
      <c r="C42" s="61"/>
      <c r="D42" s="61"/>
      <c r="E42" s="61"/>
      <c r="F42" s="61"/>
    </row>
    <row r="43" spans="1:8" s="1" customFormat="1" ht="69" x14ac:dyDescent="0.25">
      <c r="A43" s="13" t="s">
        <v>41</v>
      </c>
      <c r="B43" s="6" t="s">
        <v>111</v>
      </c>
      <c r="C43" s="9" t="s">
        <v>10</v>
      </c>
      <c r="D43" s="7">
        <v>8</v>
      </c>
      <c r="E43" s="45"/>
      <c r="F43" s="8">
        <f>+E43*D43</f>
        <v>0</v>
      </c>
    </row>
    <row r="44" spans="1:8" s="1" customFormat="1" ht="96.6" x14ac:dyDescent="0.25">
      <c r="A44" s="13" t="s">
        <v>42</v>
      </c>
      <c r="B44" s="6" t="s">
        <v>125</v>
      </c>
      <c r="C44" s="9" t="s">
        <v>10</v>
      </c>
      <c r="D44" s="7">
        <v>16</v>
      </c>
      <c r="E44" s="45"/>
      <c r="F44" s="8">
        <f t="shared" ref="F44:F45" si="4">+E44*D44</f>
        <v>0</v>
      </c>
    </row>
    <row r="45" spans="1:8" s="1" customFormat="1" ht="69" x14ac:dyDescent="0.25">
      <c r="A45" s="13" t="s">
        <v>43</v>
      </c>
      <c r="B45" s="6" t="s">
        <v>126</v>
      </c>
      <c r="C45" s="9" t="s">
        <v>12</v>
      </c>
      <c r="D45" s="7">
        <f>8*(((2.05*2)+1.1)*3)+(0.6*34)</f>
        <v>145.19999999999999</v>
      </c>
      <c r="E45" s="45"/>
      <c r="F45" s="8">
        <f t="shared" si="4"/>
        <v>0</v>
      </c>
      <c r="G45" s="38"/>
    </row>
    <row r="46" spans="1:8" s="1" customFormat="1" ht="13.8" x14ac:dyDescent="0.25">
      <c r="A46" s="62" t="s">
        <v>49</v>
      </c>
      <c r="B46" s="62"/>
      <c r="C46" s="62"/>
      <c r="D46" s="62"/>
      <c r="E46" s="62"/>
      <c r="F46" s="12">
        <f>SUM(F43:F45)</f>
        <v>0</v>
      </c>
    </row>
    <row r="47" spans="1:8" s="1" customFormat="1" ht="13.8" x14ac:dyDescent="0.25">
      <c r="A47" s="2">
        <v>6</v>
      </c>
      <c r="B47" s="61" t="s">
        <v>13</v>
      </c>
      <c r="C47" s="61"/>
      <c r="D47" s="61"/>
      <c r="E47" s="61"/>
      <c r="F47" s="61"/>
    </row>
    <row r="48" spans="1:8" s="1" customFormat="1" ht="16.8" x14ac:dyDescent="0.25">
      <c r="A48" s="13" t="s">
        <v>44</v>
      </c>
      <c r="B48" s="6" t="s">
        <v>14</v>
      </c>
      <c r="C48" s="9" t="s">
        <v>66</v>
      </c>
      <c r="D48" s="7">
        <f>2*((8*1.2*2.2)+(16*1.8*1.2))</f>
        <v>111.36000000000001</v>
      </c>
      <c r="E48" s="45"/>
      <c r="F48" s="8">
        <f>+E48*D48</f>
        <v>0</v>
      </c>
    </row>
    <row r="49" spans="1:7" s="1" customFormat="1" ht="27.6" x14ac:dyDescent="0.25">
      <c r="A49" s="13" t="s">
        <v>45</v>
      </c>
      <c r="B49" s="40" t="s">
        <v>127</v>
      </c>
      <c r="C49" s="9" t="s">
        <v>66</v>
      </c>
      <c r="D49" s="46">
        <f>+(122.95*2.4)-((8*1.2*0.6)+(16*1.8*0.6))</f>
        <v>272.03999999999996</v>
      </c>
      <c r="E49" s="50"/>
      <c r="F49" s="8">
        <f>+E49*D49</f>
        <v>0</v>
      </c>
    </row>
    <row r="50" spans="1:7" s="1" customFormat="1" ht="27.6" x14ac:dyDescent="0.25">
      <c r="A50" s="13" t="s">
        <v>46</v>
      </c>
      <c r="B50" s="40" t="s">
        <v>128</v>
      </c>
      <c r="C50" s="9" t="s">
        <v>66</v>
      </c>
      <c r="D50" s="7">
        <f>+(122.95*2.4)-((8*1.2*0.6)+(16*1.8*0.6))</f>
        <v>272.03999999999996</v>
      </c>
      <c r="E50" s="45"/>
      <c r="F50" s="8">
        <f t="shared" ref="F50:F51" si="5">+E50*D50</f>
        <v>0</v>
      </c>
      <c r="G50" s="38"/>
    </row>
    <row r="51" spans="1:7" s="1" customFormat="1" ht="16.8" x14ac:dyDescent="0.25">
      <c r="A51" s="13" t="s">
        <v>47</v>
      </c>
      <c r="B51" s="6" t="s">
        <v>50</v>
      </c>
      <c r="C51" s="9" t="s">
        <v>66</v>
      </c>
      <c r="D51" s="7">
        <f>6*1.4*8</f>
        <v>67.199999999999989</v>
      </c>
      <c r="E51" s="45"/>
      <c r="F51" s="8">
        <f t="shared" si="5"/>
        <v>0</v>
      </c>
    </row>
    <row r="52" spans="1:7" s="1" customFormat="1" ht="13.8" x14ac:dyDescent="0.25">
      <c r="A52" s="62" t="s">
        <v>51</v>
      </c>
      <c r="B52" s="62"/>
      <c r="C52" s="62"/>
      <c r="D52" s="62"/>
      <c r="E52" s="62"/>
      <c r="F52" s="12">
        <f>SUM(F48:F51)</f>
        <v>0</v>
      </c>
    </row>
    <row r="53" spans="1:7" s="1" customFormat="1" ht="13.8" x14ac:dyDescent="0.25">
      <c r="A53" s="26">
        <v>7</v>
      </c>
      <c r="B53" s="77" t="s">
        <v>84</v>
      </c>
      <c r="C53" s="78"/>
      <c r="D53" s="78"/>
      <c r="E53" s="78"/>
      <c r="F53" s="79"/>
    </row>
    <row r="54" spans="1:7" s="1" customFormat="1" ht="27.6" x14ac:dyDescent="0.25">
      <c r="A54" s="27" t="s">
        <v>85</v>
      </c>
      <c r="B54" s="6" t="s">
        <v>86</v>
      </c>
      <c r="C54" s="9" t="s">
        <v>10</v>
      </c>
      <c r="D54" s="9">
        <v>100</v>
      </c>
      <c r="E54" s="51"/>
      <c r="F54" s="8">
        <f>D54*E54</f>
        <v>0</v>
      </c>
    </row>
    <row r="55" spans="1:7" s="1" customFormat="1" ht="31.5" customHeight="1" x14ac:dyDescent="0.25">
      <c r="A55" s="80" t="s">
        <v>87</v>
      </c>
      <c r="B55" s="81"/>
      <c r="C55" s="81"/>
      <c r="D55" s="81"/>
      <c r="E55" s="82"/>
      <c r="F55" s="12">
        <f>F54</f>
        <v>0</v>
      </c>
    </row>
    <row r="56" spans="1:7" s="1" customFormat="1" ht="13.8" x14ac:dyDescent="0.25">
      <c r="A56" s="63" t="s">
        <v>70</v>
      </c>
      <c r="B56" s="63"/>
      <c r="C56" s="63"/>
      <c r="D56" s="63"/>
      <c r="E56" s="63"/>
      <c r="F56" s="22">
        <f>SUM(F55,F52,F46,F41,F32,F20,F12)</f>
        <v>0</v>
      </c>
    </row>
    <row r="57" spans="1:7" s="1" customFormat="1" ht="13.8" x14ac:dyDescent="0.25">
      <c r="A57" s="63" t="s">
        <v>71</v>
      </c>
      <c r="B57" s="63"/>
      <c r="C57" s="63"/>
      <c r="D57" s="63"/>
      <c r="E57" s="63"/>
      <c r="F57" s="22">
        <f>+F56*0.18</f>
        <v>0</v>
      </c>
    </row>
    <row r="58" spans="1:7" s="1" customFormat="1" ht="13.8" x14ac:dyDescent="0.25">
      <c r="A58" s="63" t="s">
        <v>72</v>
      </c>
      <c r="B58" s="63"/>
      <c r="C58" s="63"/>
      <c r="D58" s="63"/>
      <c r="E58" s="63"/>
      <c r="F58" s="22">
        <f>+F56+F57</f>
        <v>0</v>
      </c>
    </row>
    <row r="59" spans="1:7" s="1" customFormat="1" ht="13.8" x14ac:dyDescent="0.25">
      <c r="A59" s="16"/>
      <c r="B59" s="16"/>
      <c r="C59" s="20"/>
      <c r="D59" s="20"/>
      <c r="E59" s="52"/>
      <c r="F59" s="21"/>
    </row>
    <row r="61" spans="1:7" s="1" customFormat="1" ht="13.8" x14ac:dyDescent="0.25">
      <c r="A61" s="72" t="s">
        <v>75</v>
      </c>
      <c r="B61" s="72"/>
      <c r="C61" s="72"/>
      <c r="D61" s="72"/>
      <c r="E61" s="72"/>
      <c r="F61" s="72"/>
    </row>
    <row r="62" spans="1:7" s="1" customFormat="1" ht="13.8" x14ac:dyDescent="0.25">
      <c r="A62" s="73" t="s">
        <v>73</v>
      </c>
      <c r="B62" s="74" t="s">
        <v>132</v>
      </c>
      <c r="C62" s="74"/>
      <c r="D62" s="74"/>
      <c r="E62" s="54" t="s">
        <v>91</v>
      </c>
      <c r="F62" s="23">
        <f>+F56</f>
        <v>0</v>
      </c>
    </row>
    <row r="63" spans="1:7" s="1" customFormat="1" ht="13.8" x14ac:dyDescent="0.25">
      <c r="A63" s="73"/>
      <c r="B63" s="74"/>
      <c r="C63" s="74"/>
      <c r="D63" s="74"/>
      <c r="E63" s="55" t="s">
        <v>74</v>
      </c>
      <c r="F63" s="23">
        <f>+F58</f>
        <v>0</v>
      </c>
    </row>
    <row r="64" spans="1:7" ht="18" x14ac:dyDescent="0.35">
      <c r="A64" s="75" t="s">
        <v>99</v>
      </c>
      <c r="B64" s="76"/>
      <c r="C64" s="76"/>
      <c r="D64" s="76"/>
      <c r="E64" s="76"/>
      <c r="F64" s="28">
        <f>F62</f>
        <v>0</v>
      </c>
      <c r="G64" s="29">
        <f>F64/655.957</f>
        <v>0</v>
      </c>
    </row>
    <row r="65" spans="1:7" ht="18" x14ac:dyDescent="0.35">
      <c r="A65" s="75" t="s">
        <v>100</v>
      </c>
      <c r="B65" s="76"/>
      <c r="C65" s="76"/>
      <c r="D65" s="76"/>
      <c r="E65" s="76"/>
      <c r="F65" s="28">
        <f>F57</f>
        <v>0</v>
      </c>
      <c r="G65" s="29">
        <f t="shared" ref="G65:G66" si="6">F65/655.957</f>
        <v>0</v>
      </c>
    </row>
    <row r="66" spans="1:7" ht="18" x14ac:dyDescent="0.35">
      <c r="A66" s="75" t="s">
        <v>101</v>
      </c>
      <c r="B66" s="76"/>
      <c r="C66" s="76"/>
      <c r="D66" s="76"/>
      <c r="E66" s="76"/>
      <c r="F66" s="28">
        <f>F63</f>
        <v>0</v>
      </c>
      <c r="G66" s="29">
        <f t="shared" si="6"/>
        <v>0</v>
      </c>
    </row>
  </sheetData>
  <mergeCells count="25">
    <mergeCell ref="A46:E46"/>
    <mergeCell ref="A1:F1"/>
    <mergeCell ref="A3:F3"/>
    <mergeCell ref="B5:F5"/>
    <mergeCell ref="A12:E12"/>
    <mergeCell ref="B13:F13"/>
    <mergeCell ref="A20:E20"/>
    <mergeCell ref="B21:F21"/>
    <mergeCell ref="A32:E32"/>
    <mergeCell ref="B33:F33"/>
    <mergeCell ref="A41:E41"/>
    <mergeCell ref="B42:F42"/>
    <mergeCell ref="B47:F47"/>
    <mergeCell ref="A52:E52"/>
    <mergeCell ref="A56:E56"/>
    <mergeCell ref="A57:E57"/>
    <mergeCell ref="A58:E58"/>
    <mergeCell ref="A65:E65"/>
    <mergeCell ref="A66:E66"/>
    <mergeCell ref="B53:F53"/>
    <mergeCell ref="A55:E55"/>
    <mergeCell ref="A61:F61"/>
    <mergeCell ref="A62:A63"/>
    <mergeCell ref="B62:D63"/>
    <mergeCell ref="A64:E6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CDC1FA-CE42-4812-AA5C-052625463497}">
  <dimension ref="A1:H188"/>
  <sheetViews>
    <sheetView topLeftCell="A175" workbookViewId="0">
      <selection activeCell="E190" sqref="E190"/>
    </sheetView>
  </sheetViews>
  <sheetFormatPr baseColWidth="10" defaultRowHeight="14.4" x14ac:dyDescent="0.3"/>
  <cols>
    <col min="1" max="1" width="5.77734375" customWidth="1"/>
    <col min="2" max="2" width="41.6640625" customWidth="1"/>
    <col min="3" max="3" width="7.5546875" customWidth="1"/>
    <col min="4" max="4" width="9.44140625" customWidth="1"/>
    <col min="5" max="5" width="22" customWidth="1"/>
    <col min="6" max="6" width="21.5546875" customWidth="1"/>
    <col min="7" max="7" width="19.5546875" customWidth="1"/>
  </cols>
  <sheetData>
    <row r="1" spans="1:7" s="1" customFormat="1" ht="13.8" x14ac:dyDescent="0.25">
      <c r="A1" s="64" t="s">
        <v>135</v>
      </c>
      <c r="B1" s="64"/>
      <c r="C1" s="64"/>
      <c r="D1" s="64"/>
      <c r="E1" s="64"/>
      <c r="F1" s="64"/>
    </row>
    <row r="2" spans="1:7" s="1" customFormat="1" ht="13.8" x14ac:dyDescent="0.25">
      <c r="A2" s="19"/>
      <c r="B2" s="19"/>
      <c r="C2" s="19"/>
      <c r="D2" s="19"/>
      <c r="E2" s="19"/>
      <c r="F2" s="19"/>
    </row>
    <row r="3" spans="1:7" s="1" customFormat="1" ht="30" customHeight="1" x14ac:dyDescent="0.25">
      <c r="A3" s="65" t="s">
        <v>136</v>
      </c>
      <c r="B3" s="65"/>
      <c r="C3" s="65"/>
      <c r="D3" s="65"/>
      <c r="E3" s="65"/>
      <c r="F3" s="65"/>
    </row>
    <row r="4" spans="1:7" s="1" customFormat="1" ht="13.8" x14ac:dyDescent="0.25">
      <c r="A4" s="2" t="s">
        <v>0</v>
      </c>
      <c r="B4" s="3" t="s">
        <v>1</v>
      </c>
      <c r="C4" s="3" t="s">
        <v>2</v>
      </c>
      <c r="D4" s="3" t="s">
        <v>15</v>
      </c>
      <c r="E4" s="4" t="s">
        <v>76</v>
      </c>
      <c r="F4" s="4" t="s">
        <v>78</v>
      </c>
      <c r="G4" s="11"/>
    </row>
    <row r="5" spans="1:7" s="1" customFormat="1" ht="13.8" x14ac:dyDescent="0.25">
      <c r="A5" s="2">
        <v>1</v>
      </c>
      <c r="B5" s="61" t="s">
        <v>3</v>
      </c>
      <c r="C5" s="61"/>
      <c r="D5" s="61"/>
      <c r="E5" s="61"/>
      <c r="F5" s="61"/>
    </row>
    <row r="6" spans="1:7" s="1" customFormat="1" ht="13.8" x14ac:dyDescent="0.25">
      <c r="A6" s="5" t="s">
        <v>20</v>
      </c>
      <c r="B6" s="6" t="s">
        <v>61</v>
      </c>
      <c r="C6" s="9" t="s">
        <v>5</v>
      </c>
      <c r="D6" s="7">
        <v>1</v>
      </c>
      <c r="E6" s="8"/>
      <c r="F6" s="8">
        <f>+E6*D6</f>
        <v>0</v>
      </c>
    </row>
    <row r="7" spans="1:7" s="11" customFormat="1" ht="41.4" x14ac:dyDescent="0.25">
      <c r="A7" s="5" t="s">
        <v>21</v>
      </c>
      <c r="B7" s="6" t="s">
        <v>52</v>
      </c>
      <c r="C7" s="9" t="s">
        <v>4</v>
      </c>
      <c r="D7" s="9">
        <f>0.3*1*17</f>
        <v>5.0999999999999996</v>
      </c>
      <c r="E7" s="10"/>
      <c r="F7" s="8">
        <f t="shared" ref="F7:F11" si="0">+E7*D7</f>
        <v>0</v>
      </c>
    </row>
    <row r="8" spans="1:7" s="11" customFormat="1" ht="30" customHeight="1" x14ac:dyDescent="0.25">
      <c r="A8" s="5" t="s">
        <v>22</v>
      </c>
      <c r="B8" s="6" t="s">
        <v>82</v>
      </c>
      <c r="C8" s="9" t="s">
        <v>5</v>
      </c>
      <c r="D8" s="9">
        <v>1</v>
      </c>
      <c r="E8" s="10"/>
      <c r="F8" s="8">
        <f t="shared" si="0"/>
        <v>0</v>
      </c>
    </row>
    <row r="9" spans="1:7" s="11" customFormat="1" ht="55.2" x14ac:dyDescent="0.25">
      <c r="A9" s="5" t="s">
        <v>23</v>
      </c>
      <c r="B9" s="6" t="s">
        <v>103</v>
      </c>
      <c r="C9" s="15" t="s">
        <v>65</v>
      </c>
      <c r="D9" s="30">
        <f>((5.36+5.03*3.93)*0.4*0.4)*4</f>
        <v>16.081856000000002</v>
      </c>
      <c r="E9" s="10"/>
      <c r="F9" s="8">
        <f t="shared" si="0"/>
        <v>0</v>
      </c>
      <c r="G9" s="38"/>
    </row>
    <row r="10" spans="1:7" s="11" customFormat="1" ht="41.4" x14ac:dyDescent="0.25">
      <c r="A10" s="5" t="s">
        <v>81</v>
      </c>
      <c r="B10" s="6" t="s">
        <v>6</v>
      </c>
      <c r="C10" s="15" t="s">
        <v>65</v>
      </c>
      <c r="D10" s="9">
        <f>3.2*1*0.45*4</f>
        <v>5.7600000000000007</v>
      </c>
      <c r="E10" s="10"/>
      <c r="F10" s="8">
        <f t="shared" si="0"/>
        <v>0</v>
      </c>
      <c r="G10" s="38"/>
    </row>
    <row r="11" spans="1:7" s="1" customFormat="1" ht="27.6" x14ac:dyDescent="0.25">
      <c r="A11" s="32" t="s">
        <v>105</v>
      </c>
      <c r="B11" s="33" t="s">
        <v>106</v>
      </c>
      <c r="C11" s="9" t="s">
        <v>4</v>
      </c>
      <c r="D11" s="15">
        <f>(7*9)*2</f>
        <v>126</v>
      </c>
      <c r="E11" s="34"/>
      <c r="F11" s="8">
        <f t="shared" si="0"/>
        <v>0</v>
      </c>
    </row>
    <row r="12" spans="1:7" s="1" customFormat="1" ht="13.8" x14ac:dyDescent="0.25">
      <c r="A12" s="62" t="s">
        <v>16</v>
      </c>
      <c r="B12" s="62"/>
      <c r="C12" s="62"/>
      <c r="D12" s="62"/>
      <c r="E12" s="62"/>
      <c r="F12" s="12">
        <f>SUM(F6:F11)</f>
        <v>0</v>
      </c>
    </row>
    <row r="13" spans="1:7" s="1" customFormat="1" ht="13.8" x14ac:dyDescent="0.25">
      <c r="A13" s="2">
        <v>2</v>
      </c>
      <c r="B13" s="61" t="s">
        <v>7</v>
      </c>
      <c r="C13" s="61"/>
      <c r="D13" s="61"/>
      <c r="E13" s="61"/>
      <c r="F13" s="61"/>
    </row>
    <row r="14" spans="1:7" s="1" customFormat="1" ht="16.8" x14ac:dyDescent="0.25">
      <c r="A14" s="13" t="s">
        <v>24</v>
      </c>
      <c r="B14" s="6" t="s">
        <v>54</v>
      </c>
      <c r="C14" s="15" t="s">
        <v>65</v>
      </c>
      <c r="D14" s="9">
        <f>5.2*0.4*0.05*4</f>
        <v>0.41600000000000004</v>
      </c>
      <c r="E14" s="8"/>
      <c r="F14" s="8">
        <f t="shared" ref="F14:F19" si="1">+E14*D14</f>
        <v>0</v>
      </c>
    </row>
    <row r="15" spans="1:7" s="1" customFormat="1" ht="27.6" x14ac:dyDescent="0.25">
      <c r="A15" s="13" t="s">
        <v>25</v>
      </c>
      <c r="B15" s="6" t="s">
        <v>53</v>
      </c>
      <c r="C15" s="9" t="s">
        <v>4</v>
      </c>
      <c r="D15" s="9">
        <f>5.2*0.69*4</f>
        <v>14.351999999999999</v>
      </c>
      <c r="E15" s="8"/>
      <c r="F15" s="8">
        <f t="shared" si="1"/>
        <v>0</v>
      </c>
    </row>
    <row r="16" spans="1:7" s="1" customFormat="1" ht="27.6" x14ac:dyDescent="0.25">
      <c r="A16" s="13" t="s">
        <v>26</v>
      </c>
      <c r="B16" s="6" t="s">
        <v>57</v>
      </c>
      <c r="C16" s="9" t="s">
        <v>66</v>
      </c>
      <c r="D16" s="7">
        <f>9.4*7.4*2</f>
        <v>139.12</v>
      </c>
      <c r="E16" s="8"/>
      <c r="F16" s="8">
        <f t="shared" si="1"/>
        <v>0</v>
      </c>
    </row>
    <row r="17" spans="1:6" s="1" customFormat="1" ht="69" x14ac:dyDescent="0.25">
      <c r="A17" s="13" t="s">
        <v>27</v>
      </c>
      <c r="B17" s="6" t="s">
        <v>83</v>
      </c>
      <c r="C17" s="9" t="s">
        <v>67</v>
      </c>
      <c r="D17" s="7">
        <f>9*7*0.1*2</f>
        <v>12.600000000000001</v>
      </c>
      <c r="E17" s="8"/>
      <c r="F17" s="8">
        <f t="shared" si="1"/>
        <v>0</v>
      </c>
    </row>
    <row r="18" spans="1:6" s="1" customFormat="1" ht="69" x14ac:dyDescent="0.25">
      <c r="A18" s="13" t="s">
        <v>28</v>
      </c>
      <c r="B18" s="6" t="s">
        <v>55</v>
      </c>
      <c r="C18" s="9" t="s">
        <v>67</v>
      </c>
      <c r="D18" s="7">
        <f>3.2*1*0.08*4</f>
        <v>1.024</v>
      </c>
      <c r="E18" s="8"/>
      <c r="F18" s="8">
        <f t="shared" si="1"/>
        <v>0</v>
      </c>
    </row>
    <row r="19" spans="1:6" s="1" customFormat="1" ht="55.2" x14ac:dyDescent="0.25">
      <c r="A19" s="13" t="s">
        <v>29</v>
      </c>
      <c r="B19" s="6" t="s">
        <v>56</v>
      </c>
      <c r="C19" s="9" t="s">
        <v>67</v>
      </c>
      <c r="D19" s="14">
        <f>4*(((1.03*2)+(2.16*0.9))*0.45)/2</f>
        <v>3.6036000000000006</v>
      </c>
      <c r="E19" s="8"/>
      <c r="F19" s="8">
        <f t="shared" si="1"/>
        <v>0</v>
      </c>
    </row>
    <row r="20" spans="1:6" s="1" customFormat="1" ht="13.8" x14ac:dyDescent="0.25">
      <c r="A20" s="62" t="s">
        <v>17</v>
      </c>
      <c r="B20" s="62"/>
      <c r="C20" s="62"/>
      <c r="D20" s="62"/>
      <c r="E20" s="62"/>
      <c r="F20" s="12">
        <f>SUM(F14:F19)</f>
        <v>0</v>
      </c>
    </row>
    <row r="21" spans="1:6" s="1" customFormat="1" ht="13.8" x14ac:dyDescent="0.25">
      <c r="A21" s="2">
        <v>3</v>
      </c>
      <c r="B21" s="61" t="s">
        <v>8</v>
      </c>
      <c r="C21" s="61"/>
      <c r="D21" s="61"/>
      <c r="E21" s="61"/>
      <c r="F21" s="61"/>
    </row>
    <row r="22" spans="1:6" s="1" customFormat="1" ht="44.4" x14ac:dyDescent="0.25">
      <c r="A22" s="13" t="s">
        <v>30</v>
      </c>
      <c r="B22" s="6" t="s">
        <v>68</v>
      </c>
      <c r="C22" s="9" t="s">
        <v>67</v>
      </c>
      <c r="D22" s="7">
        <f>17*0.15*0.15*4</f>
        <v>1.5299999999999998</v>
      </c>
      <c r="E22" s="8"/>
      <c r="F22" s="8">
        <f>+E22*D22</f>
        <v>0</v>
      </c>
    </row>
    <row r="23" spans="1:6" s="1" customFormat="1" ht="44.4" x14ac:dyDescent="0.25">
      <c r="A23" s="13" t="s">
        <v>31</v>
      </c>
      <c r="B23" s="6" t="s">
        <v>69</v>
      </c>
      <c r="C23" s="9" t="s">
        <v>67</v>
      </c>
      <c r="D23" s="7">
        <f>58.05*0.15*0.2</f>
        <v>1.7415</v>
      </c>
      <c r="E23" s="8"/>
      <c r="F23" s="8">
        <f t="shared" ref="F23:F31" si="2">+E23*D23</f>
        <v>0</v>
      </c>
    </row>
    <row r="24" spans="1:6" s="1" customFormat="1" ht="27.6" x14ac:dyDescent="0.25">
      <c r="A24" s="13" t="s">
        <v>32</v>
      </c>
      <c r="B24" s="6" t="s">
        <v>64</v>
      </c>
      <c r="C24" s="9" t="s">
        <v>66</v>
      </c>
      <c r="D24" s="7">
        <f>+((58.05*2.9)-((8*1.8*1.2)+(4*1.2*1.1)))</f>
        <v>145.785</v>
      </c>
      <c r="E24" s="8"/>
      <c r="F24" s="8">
        <f t="shared" si="2"/>
        <v>0</v>
      </c>
    </row>
    <row r="25" spans="1:6" s="1" customFormat="1" ht="41.4" x14ac:dyDescent="0.25">
      <c r="A25" s="13" t="s">
        <v>33</v>
      </c>
      <c r="B25" s="6" t="s">
        <v>59</v>
      </c>
      <c r="C25" s="9" t="s">
        <v>66</v>
      </c>
      <c r="D25" s="7">
        <f>+D24+(7*2.9)</f>
        <v>166.08500000000001</v>
      </c>
      <c r="E25" s="8"/>
      <c r="F25" s="8">
        <f t="shared" si="2"/>
        <v>0</v>
      </c>
    </row>
    <row r="26" spans="1:6" s="1" customFormat="1" ht="27.6" x14ac:dyDescent="0.25">
      <c r="A26" s="13" t="s">
        <v>34</v>
      </c>
      <c r="B26" s="6" t="s">
        <v>58</v>
      </c>
      <c r="C26" s="9" t="s">
        <v>66</v>
      </c>
      <c r="D26" s="7">
        <f>+D24-(7*2.9)</f>
        <v>125.485</v>
      </c>
      <c r="E26" s="8"/>
      <c r="F26" s="8">
        <f t="shared" si="2"/>
        <v>0</v>
      </c>
    </row>
    <row r="27" spans="1:6" s="1" customFormat="1" ht="27.6" x14ac:dyDescent="0.25">
      <c r="A27" s="13" t="s">
        <v>35</v>
      </c>
      <c r="B27" s="6" t="s">
        <v>63</v>
      </c>
      <c r="C27" s="9" t="s">
        <v>66</v>
      </c>
      <c r="D27" s="7">
        <f>+((58.05*1.6)-((4*1.6*1.2)+(1.8*0.6*8)))</f>
        <v>76.56</v>
      </c>
      <c r="E27" s="8"/>
      <c r="F27" s="8">
        <f t="shared" si="2"/>
        <v>0</v>
      </c>
    </row>
    <row r="28" spans="1:6" s="1" customFormat="1" ht="27.6" x14ac:dyDescent="0.25">
      <c r="A28" s="13" t="s">
        <v>36</v>
      </c>
      <c r="B28" s="6" t="s">
        <v>60</v>
      </c>
      <c r="C28" s="9" t="s">
        <v>66</v>
      </c>
      <c r="D28" s="7">
        <f>6*1.4*4</f>
        <v>33.599999999999994</v>
      </c>
      <c r="E28" s="8"/>
      <c r="F28" s="8">
        <f t="shared" si="2"/>
        <v>0</v>
      </c>
    </row>
    <row r="29" spans="1:6" s="1" customFormat="1" ht="27.6" x14ac:dyDescent="0.25">
      <c r="A29" s="13" t="s">
        <v>37</v>
      </c>
      <c r="B29" s="6" t="s">
        <v>113</v>
      </c>
      <c r="C29" s="9" t="s">
        <v>66</v>
      </c>
      <c r="D29" s="7">
        <f>+((50.9)-(1.2*2))*1</f>
        <v>48.5</v>
      </c>
      <c r="E29" s="8"/>
      <c r="F29" s="8">
        <f t="shared" si="2"/>
        <v>0</v>
      </c>
    </row>
    <row r="30" spans="1:6" s="1" customFormat="1" ht="41.4" x14ac:dyDescent="0.25">
      <c r="A30" s="13" t="s">
        <v>38</v>
      </c>
      <c r="B30" s="6" t="s">
        <v>114</v>
      </c>
      <c r="C30" s="9" t="s">
        <v>66</v>
      </c>
      <c r="D30" s="7">
        <f>+D26+D29</f>
        <v>173.98500000000001</v>
      </c>
      <c r="E30" s="8"/>
      <c r="F30" s="8">
        <f t="shared" si="2"/>
        <v>0</v>
      </c>
    </row>
    <row r="31" spans="1:6" s="1" customFormat="1" ht="13.8" x14ac:dyDescent="0.25">
      <c r="A31" s="13" t="s">
        <v>39</v>
      </c>
      <c r="B31" s="6" t="s">
        <v>9</v>
      </c>
      <c r="C31" s="9" t="s">
        <v>10</v>
      </c>
      <c r="D31" s="7">
        <v>24</v>
      </c>
      <c r="E31" s="8"/>
      <c r="F31" s="8">
        <f t="shared" si="2"/>
        <v>0</v>
      </c>
    </row>
    <row r="32" spans="1:6" s="1" customFormat="1" ht="13.8" x14ac:dyDescent="0.25">
      <c r="A32" s="62" t="s">
        <v>18</v>
      </c>
      <c r="B32" s="62"/>
      <c r="C32" s="62"/>
      <c r="D32" s="62"/>
      <c r="E32" s="62"/>
      <c r="F32" s="12">
        <f>SUM(F22:F31)</f>
        <v>0</v>
      </c>
    </row>
    <row r="33" spans="1:8" s="1" customFormat="1" ht="13.8" x14ac:dyDescent="0.25">
      <c r="A33" s="2">
        <v>4</v>
      </c>
      <c r="B33" s="61" t="s">
        <v>11</v>
      </c>
      <c r="C33" s="61"/>
      <c r="D33" s="61"/>
      <c r="E33" s="61"/>
      <c r="F33" s="61"/>
    </row>
    <row r="34" spans="1:8" s="1" customFormat="1" ht="55.2" x14ac:dyDescent="0.25">
      <c r="A34" s="13" t="s">
        <v>40</v>
      </c>
      <c r="B34" s="6" t="s">
        <v>115</v>
      </c>
      <c r="C34" s="9" t="s">
        <v>12</v>
      </c>
      <c r="D34" s="9">
        <f>9.7+9.15</f>
        <v>18.850000000000001</v>
      </c>
      <c r="E34" s="8"/>
      <c r="F34" s="8">
        <f t="shared" ref="F34:F40" si="3">+E34*D34</f>
        <v>0</v>
      </c>
    </row>
    <row r="35" spans="1:8" s="1" customFormat="1" ht="69" x14ac:dyDescent="0.25">
      <c r="A35" s="13" t="s">
        <v>79</v>
      </c>
      <c r="B35" s="6" t="s">
        <v>116</v>
      </c>
      <c r="C35" s="9" t="s">
        <v>12</v>
      </c>
      <c r="D35" s="9">
        <f>(4*2)*2</f>
        <v>16</v>
      </c>
      <c r="E35" s="8"/>
      <c r="F35" s="8">
        <f t="shared" si="3"/>
        <v>0</v>
      </c>
      <c r="G35" s="31"/>
    </row>
    <row r="36" spans="1:8" s="1" customFormat="1" ht="43.5" customHeight="1" x14ac:dyDescent="0.25">
      <c r="A36" s="13" t="s">
        <v>80</v>
      </c>
      <c r="B36" s="6" t="s">
        <v>117</v>
      </c>
      <c r="C36" s="9" t="s">
        <v>12</v>
      </c>
      <c r="D36" s="7">
        <f>18.3+7.15*2</f>
        <v>32.6</v>
      </c>
      <c r="E36" s="8"/>
      <c r="F36" s="8">
        <f t="shared" si="3"/>
        <v>0</v>
      </c>
      <c r="G36" s="38"/>
      <c r="H36" s="35"/>
    </row>
    <row r="37" spans="1:8" s="1" customFormat="1" ht="27.6" x14ac:dyDescent="0.25">
      <c r="A37" s="36" t="s">
        <v>108</v>
      </c>
      <c r="B37" s="33" t="s">
        <v>109</v>
      </c>
      <c r="C37" s="15" t="s">
        <v>110</v>
      </c>
      <c r="D37" s="37">
        <f>7*2*0.6</f>
        <v>8.4</v>
      </c>
      <c r="E37" s="56"/>
      <c r="F37" s="8">
        <f t="shared" si="3"/>
        <v>0</v>
      </c>
      <c r="G37" s="57"/>
    </row>
    <row r="38" spans="1:8" s="1" customFormat="1" ht="27.6" x14ac:dyDescent="0.25">
      <c r="A38" s="36" t="s">
        <v>118</v>
      </c>
      <c r="B38" s="6" t="s">
        <v>119</v>
      </c>
      <c r="C38" s="9" t="s">
        <v>66</v>
      </c>
      <c r="D38" s="7">
        <f>1.98*4*4</f>
        <v>31.68</v>
      </c>
      <c r="E38" s="45"/>
      <c r="F38" s="8">
        <f t="shared" si="3"/>
        <v>0</v>
      </c>
    </row>
    <row r="39" spans="1:8" s="1" customFormat="1" ht="27.6" x14ac:dyDescent="0.25">
      <c r="A39" s="36" t="s">
        <v>120</v>
      </c>
      <c r="B39" s="6" t="s">
        <v>121</v>
      </c>
      <c r="C39" s="9" t="s">
        <v>67</v>
      </c>
      <c r="D39" s="7">
        <f>0.4*0.4*0.4*4</f>
        <v>0.25600000000000006</v>
      </c>
      <c r="E39" s="56"/>
      <c r="F39" s="8">
        <f t="shared" si="3"/>
        <v>0</v>
      </c>
    </row>
    <row r="40" spans="1:8" s="1" customFormat="1" ht="55.2" x14ac:dyDescent="0.25">
      <c r="A40" s="36" t="s">
        <v>122</v>
      </c>
      <c r="B40" s="6" t="s">
        <v>124</v>
      </c>
      <c r="C40" s="9" t="s">
        <v>123</v>
      </c>
      <c r="D40" s="7">
        <v>4</v>
      </c>
      <c r="E40" s="58"/>
      <c r="F40" s="8">
        <f t="shared" si="3"/>
        <v>0</v>
      </c>
    </row>
    <row r="41" spans="1:8" s="1" customFormat="1" ht="13.8" x14ac:dyDescent="0.25">
      <c r="A41" s="62" t="s">
        <v>19</v>
      </c>
      <c r="B41" s="62"/>
      <c r="C41" s="62"/>
      <c r="D41" s="62"/>
      <c r="E41" s="62"/>
      <c r="F41" s="12">
        <f>SUM(F34:F40)</f>
        <v>0</v>
      </c>
    </row>
    <row r="42" spans="1:8" s="1" customFormat="1" ht="13.8" x14ac:dyDescent="0.25">
      <c r="A42" s="2">
        <v>5</v>
      </c>
      <c r="B42" s="61" t="s">
        <v>48</v>
      </c>
      <c r="C42" s="61"/>
      <c r="D42" s="61"/>
      <c r="E42" s="61"/>
      <c r="F42" s="61"/>
    </row>
    <row r="43" spans="1:8" s="1" customFormat="1" ht="55.2" x14ac:dyDescent="0.25">
      <c r="A43" s="13" t="s">
        <v>41</v>
      </c>
      <c r="B43" s="6" t="s">
        <v>111</v>
      </c>
      <c r="C43" s="9" t="s">
        <v>10</v>
      </c>
      <c r="D43" s="7">
        <v>4</v>
      </c>
      <c r="E43" s="8"/>
      <c r="F43" s="8">
        <f>+E43*D43</f>
        <v>0</v>
      </c>
    </row>
    <row r="44" spans="1:8" s="1" customFormat="1" ht="96.6" x14ac:dyDescent="0.25">
      <c r="A44" s="13" t="s">
        <v>42</v>
      </c>
      <c r="B44" s="6" t="s">
        <v>125</v>
      </c>
      <c r="C44" s="9" t="s">
        <v>10</v>
      </c>
      <c r="D44" s="7">
        <v>8</v>
      </c>
      <c r="E44" s="8"/>
      <c r="F44" s="8">
        <f>+E44*D44</f>
        <v>0</v>
      </c>
    </row>
    <row r="45" spans="1:8" s="1" customFormat="1" ht="107.25" customHeight="1" x14ac:dyDescent="0.25">
      <c r="A45" s="13" t="s">
        <v>43</v>
      </c>
      <c r="B45" s="6" t="s">
        <v>126</v>
      </c>
      <c r="C45" s="9" t="s">
        <v>12</v>
      </c>
      <c r="D45" s="7">
        <f>4*(((2.05*2)+1.1)*3)+(0.6*34)</f>
        <v>82.799999999999983</v>
      </c>
      <c r="E45" s="8"/>
      <c r="F45" s="8">
        <f>+E45*D45</f>
        <v>0</v>
      </c>
      <c r="G45" s="38"/>
    </row>
    <row r="46" spans="1:8" s="1" customFormat="1" ht="13.8" x14ac:dyDescent="0.25">
      <c r="A46" s="62" t="s">
        <v>49</v>
      </c>
      <c r="B46" s="62"/>
      <c r="C46" s="62"/>
      <c r="D46" s="62"/>
      <c r="E46" s="62"/>
      <c r="F46" s="12">
        <f>SUM(F43:F45)</f>
        <v>0</v>
      </c>
    </row>
    <row r="47" spans="1:8" s="1" customFormat="1" ht="13.8" x14ac:dyDescent="0.25">
      <c r="A47" s="2">
        <v>6</v>
      </c>
      <c r="B47" s="61" t="s">
        <v>13</v>
      </c>
      <c r="C47" s="61"/>
      <c r="D47" s="61"/>
      <c r="E47" s="61"/>
      <c r="F47" s="61"/>
    </row>
    <row r="48" spans="1:8" s="1" customFormat="1" ht="16.8" x14ac:dyDescent="0.25">
      <c r="A48" s="13" t="s">
        <v>44</v>
      </c>
      <c r="B48" s="6" t="s">
        <v>14</v>
      </c>
      <c r="C48" s="9" t="s">
        <v>66</v>
      </c>
      <c r="D48" s="7">
        <f>2*((4*1.2*2.2)+(8*1.8*1.2))</f>
        <v>55.680000000000007</v>
      </c>
      <c r="E48" s="8"/>
      <c r="F48" s="8">
        <f>+E48*D48</f>
        <v>0</v>
      </c>
    </row>
    <row r="49" spans="1:7" s="1" customFormat="1" ht="27.6" x14ac:dyDescent="0.25">
      <c r="A49" s="13" t="s">
        <v>45</v>
      </c>
      <c r="B49" s="40" t="s">
        <v>127</v>
      </c>
      <c r="C49" s="9" t="s">
        <v>66</v>
      </c>
      <c r="D49" s="7">
        <f>+(58.05*2.4)-((4*1.2*0.6)+(8*1.8*0.6))</f>
        <v>127.8</v>
      </c>
      <c r="E49" s="59"/>
      <c r="F49" s="8">
        <f>+E49*D49</f>
        <v>0</v>
      </c>
    </row>
    <row r="50" spans="1:7" s="1" customFormat="1" ht="27.6" x14ac:dyDescent="0.25">
      <c r="A50" s="13" t="s">
        <v>46</v>
      </c>
      <c r="B50" s="40" t="s">
        <v>128</v>
      </c>
      <c r="C50" s="9" t="s">
        <v>66</v>
      </c>
      <c r="D50" s="7">
        <f>+(58.05*2.4)-((4*1.2*0.6)+(8*1.8*0.6))</f>
        <v>127.8</v>
      </c>
      <c r="E50" s="8"/>
      <c r="F50" s="8">
        <f>+E50*D50</f>
        <v>0</v>
      </c>
      <c r="G50" s="38"/>
    </row>
    <row r="51" spans="1:7" s="1" customFormat="1" ht="16.8" x14ac:dyDescent="0.25">
      <c r="A51" s="13" t="s">
        <v>47</v>
      </c>
      <c r="B51" s="6" t="s">
        <v>50</v>
      </c>
      <c r="C51" s="9" t="s">
        <v>66</v>
      </c>
      <c r="D51" s="7">
        <f>6*1.4*4</f>
        <v>33.599999999999994</v>
      </c>
      <c r="E51" s="8"/>
      <c r="F51" s="8">
        <f>+E51*D51</f>
        <v>0</v>
      </c>
    </row>
    <row r="52" spans="1:7" s="1" customFormat="1" ht="13.8" x14ac:dyDescent="0.25">
      <c r="A52" s="62" t="s">
        <v>51</v>
      </c>
      <c r="B52" s="62"/>
      <c r="C52" s="62"/>
      <c r="D52" s="62"/>
      <c r="E52" s="62"/>
      <c r="F52" s="12">
        <f>SUM(F48:F51)</f>
        <v>0</v>
      </c>
    </row>
    <row r="53" spans="1:7" s="1" customFormat="1" ht="13.8" x14ac:dyDescent="0.25">
      <c r="A53" s="2">
        <v>7</v>
      </c>
      <c r="B53" s="61" t="s">
        <v>84</v>
      </c>
      <c r="C53" s="61"/>
      <c r="D53" s="61"/>
      <c r="E53" s="61"/>
      <c r="F53" s="61"/>
    </row>
    <row r="54" spans="1:7" s="1" customFormat="1" ht="27.6" x14ac:dyDescent="0.25">
      <c r="A54" s="24" t="s">
        <v>85</v>
      </c>
      <c r="B54" s="6" t="s">
        <v>86</v>
      </c>
      <c r="C54" s="9" t="s">
        <v>10</v>
      </c>
      <c r="D54" s="9">
        <v>100</v>
      </c>
      <c r="E54" s="25"/>
      <c r="F54" s="8">
        <f>D54*E54</f>
        <v>0</v>
      </c>
    </row>
    <row r="55" spans="1:7" s="1" customFormat="1" ht="13.8" x14ac:dyDescent="0.25">
      <c r="A55" s="62" t="s">
        <v>87</v>
      </c>
      <c r="B55" s="62"/>
      <c r="C55" s="62"/>
      <c r="D55" s="62"/>
      <c r="E55" s="62"/>
      <c r="F55" s="12">
        <f>F54</f>
        <v>0</v>
      </c>
    </row>
    <row r="56" spans="1:7" s="1" customFormat="1" ht="13.8" x14ac:dyDescent="0.25">
      <c r="A56" s="63" t="s">
        <v>70</v>
      </c>
      <c r="B56" s="63"/>
      <c r="C56" s="63"/>
      <c r="D56" s="63"/>
      <c r="E56" s="63"/>
      <c r="F56" s="22">
        <f>SUM(F55,F52,F46,F41,F32,F20,F12)</f>
        <v>0</v>
      </c>
    </row>
    <row r="57" spans="1:7" s="1" customFormat="1" ht="13.8" x14ac:dyDescent="0.25">
      <c r="A57" s="63" t="s">
        <v>71</v>
      </c>
      <c r="B57" s="63"/>
      <c r="C57" s="63"/>
      <c r="D57" s="63"/>
      <c r="E57" s="63"/>
      <c r="F57" s="22">
        <f>+F56*0.18</f>
        <v>0</v>
      </c>
    </row>
    <row r="58" spans="1:7" s="1" customFormat="1" ht="13.8" x14ac:dyDescent="0.25">
      <c r="A58" s="63" t="s">
        <v>72</v>
      </c>
      <c r="B58" s="63"/>
      <c r="C58" s="63"/>
      <c r="D58" s="63"/>
      <c r="E58" s="63"/>
      <c r="F58" s="22">
        <f>+F56+F57</f>
        <v>0</v>
      </c>
    </row>
    <row r="59" spans="1:7" s="1" customFormat="1" ht="13.8" x14ac:dyDescent="0.25">
      <c r="A59" s="20"/>
      <c r="B59" s="20"/>
      <c r="C59" s="20"/>
      <c r="D59" s="20"/>
      <c r="E59" s="20"/>
      <c r="F59" s="60"/>
    </row>
    <row r="60" spans="1:7" s="1" customFormat="1" ht="33.6" customHeight="1" x14ac:dyDescent="0.25">
      <c r="A60" s="64" t="s">
        <v>137</v>
      </c>
      <c r="B60" s="64"/>
      <c r="C60" s="64"/>
      <c r="D60" s="64"/>
      <c r="E60" s="64"/>
      <c r="F60" s="64"/>
    </row>
    <row r="61" spans="1:7" s="1" customFormat="1" ht="13.8" x14ac:dyDescent="0.25">
      <c r="A61" s="19"/>
      <c r="B61" s="19"/>
      <c r="C61" s="19"/>
      <c r="D61" s="19"/>
      <c r="E61" s="19"/>
      <c r="F61" s="19"/>
    </row>
    <row r="62" spans="1:7" s="1" customFormat="1" ht="38.25" customHeight="1" x14ac:dyDescent="0.25">
      <c r="A62" s="65" t="s">
        <v>138</v>
      </c>
      <c r="B62" s="65"/>
      <c r="C62" s="65"/>
      <c r="D62" s="65"/>
      <c r="E62" s="65"/>
      <c r="F62" s="65"/>
    </row>
    <row r="63" spans="1:7" s="1" customFormat="1" ht="13.8" x14ac:dyDescent="0.25">
      <c r="A63" s="2" t="s">
        <v>0</v>
      </c>
      <c r="B63" s="3" t="s">
        <v>1</v>
      </c>
      <c r="C63" s="3" t="s">
        <v>2</v>
      </c>
      <c r="D63" s="3" t="s">
        <v>15</v>
      </c>
      <c r="E63" s="4" t="s">
        <v>76</v>
      </c>
      <c r="F63" s="4" t="s">
        <v>77</v>
      </c>
      <c r="G63" s="11"/>
    </row>
    <row r="64" spans="1:7" s="1" customFormat="1" ht="13.8" x14ac:dyDescent="0.25">
      <c r="A64" s="2">
        <v>1</v>
      </c>
      <c r="B64" s="61" t="s">
        <v>3</v>
      </c>
      <c r="C64" s="61"/>
      <c r="D64" s="61"/>
      <c r="E64" s="61"/>
      <c r="F64" s="61"/>
    </row>
    <row r="65" spans="1:7" s="1" customFormat="1" ht="13.8" x14ac:dyDescent="0.25">
      <c r="A65" s="5" t="s">
        <v>20</v>
      </c>
      <c r="B65" s="6" t="s">
        <v>61</v>
      </c>
      <c r="C65" s="9" t="s">
        <v>5</v>
      </c>
      <c r="D65" s="7">
        <v>1</v>
      </c>
      <c r="E65" s="8"/>
      <c r="F65" s="8">
        <f t="shared" ref="F65:F70" si="4">+E65*D65</f>
        <v>0</v>
      </c>
    </row>
    <row r="66" spans="1:7" s="11" customFormat="1" ht="41.4" x14ac:dyDescent="0.25">
      <c r="A66" s="5" t="s">
        <v>21</v>
      </c>
      <c r="B66" s="6" t="s">
        <v>52</v>
      </c>
      <c r="C66" s="9" t="s">
        <v>4</v>
      </c>
      <c r="D66" s="9">
        <f>0.3*1*10</f>
        <v>3</v>
      </c>
      <c r="E66" s="10"/>
      <c r="F66" s="8">
        <f t="shared" si="4"/>
        <v>0</v>
      </c>
    </row>
    <row r="67" spans="1:7" s="11" customFormat="1" ht="27.6" x14ac:dyDescent="0.25">
      <c r="A67" s="5" t="s">
        <v>22</v>
      </c>
      <c r="B67" s="6" t="s">
        <v>82</v>
      </c>
      <c r="C67" s="9" t="s">
        <v>5</v>
      </c>
      <c r="D67" s="9">
        <v>1</v>
      </c>
      <c r="E67" s="10"/>
      <c r="F67" s="8">
        <f t="shared" si="4"/>
        <v>0</v>
      </c>
    </row>
    <row r="68" spans="1:7" s="11" customFormat="1" ht="65.25" customHeight="1" x14ac:dyDescent="0.25">
      <c r="A68" s="5" t="s">
        <v>23</v>
      </c>
      <c r="B68" s="6" t="s">
        <v>103</v>
      </c>
      <c r="C68" s="15" t="s">
        <v>65</v>
      </c>
      <c r="D68" s="30">
        <f>((5.36+5.03*3.93)*0.4*0.4)*2</f>
        <v>8.040928000000001</v>
      </c>
      <c r="E68" s="10"/>
      <c r="F68" s="8">
        <f t="shared" si="4"/>
        <v>0</v>
      </c>
      <c r="G68" s="38"/>
    </row>
    <row r="69" spans="1:7" s="11" customFormat="1" ht="57.6" customHeight="1" x14ac:dyDescent="0.25">
      <c r="A69" s="5" t="s">
        <v>81</v>
      </c>
      <c r="B69" s="6" t="s">
        <v>6</v>
      </c>
      <c r="C69" s="15" t="s">
        <v>65</v>
      </c>
      <c r="D69" s="9">
        <f>3.2*1*0.45*2</f>
        <v>2.8800000000000003</v>
      </c>
      <c r="E69" s="10"/>
      <c r="F69" s="8">
        <f t="shared" si="4"/>
        <v>0</v>
      </c>
      <c r="G69" s="38"/>
    </row>
    <row r="70" spans="1:7" s="11" customFormat="1" ht="27.6" x14ac:dyDescent="0.25">
      <c r="A70" s="32" t="s">
        <v>105</v>
      </c>
      <c r="B70" s="33" t="s">
        <v>106</v>
      </c>
      <c r="C70" s="15" t="s">
        <v>110</v>
      </c>
      <c r="D70" s="15">
        <f>9*7</f>
        <v>63</v>
      </c>
      <c r="E70" s="34"/>
      <c r="F70" s="8">
        <f t="shared" si="4"/>
        <v>0</v>
      </c>
      <c r="G70" s="38"/>
    </row>
    <row r="71" spans="1:7" s="1" customFormat="1" ht="13.8" x14ac:dyDescent="0.25">
      <c r="A71" s="62" t="s">
        <v>16</v>
      </c>
      <c r="B71" s="62"/>
      <c r="C71" s="62"/>
      <c r="D71" s="62"/>
      <c r="E71" s="62"/>
      <c r="F71" s="12">
        <f>SUM(F65:F70)</f>
        <v>0</v>
      </c>
    </row>
    <row r="72" spans="1:7" s="1" customFormat="1" ht="13.8" x14ac:dyDescent="0.25">
      <c r="A72" s="2">
        <v>2</v>
      </c>
      <c r="B72" s="61" t="s">
        <v>7</v>
      </c>
      <c r="C72" s="61"/>
      <c r="D72" s="61"/>
      <c r="E72" s="61"/>
      <c r="F72" s="61"/>
    </row>
    <row r="73" spans="1:7" s="1" customFormat="1" ht="16.8" x14ac:dyDescent="0.25">
      <c r="A73" s="13" t="s">
        <v>24</v>
      </c>
      <c r="B73" s="6" t="s">
        <v>54</v>
      </c>
      <c r="C73" s="15" t="s">
        <v>65</v>
      </c>
      <c r="D73" s="9">
        <f>5.2*0.4*0.05*2</f>
        <v>0.20800000000000002</v>
      </c>
      <c r="E73" s="8"/>
      <c r="F73" s="8">
        <f t="shared" ref="F73:F78" si="5">+E73*D73</f>
        <v>0</v>
      </c>
    </row>
    <row r="74" spans="1:7" s="1" customFormat="1" ht="27.6" x14ac:dyDescent="0.25">
      <c r="A74" s="13" t="s">
        <v>25</v>
      </c>
      <c r="B74" s="6" t="s">
        <v>53</v>
      </c>
      <c r="C74" s="9" t="s">
        <v>4</v>
      </c>
      <c r="D74" s="9">
        <f>5.2*0.69*2</f>
        <v>7.1759999999999993</v>
      </c>
      <c r="E74" s="8"/>
      <c r="F74" s="8">
        <f t="shared" si="5"/>
        <v>0</v>
      </c>
    </row>
    <row r="75" spans="1:7" s="1" customFormat="1" ht="27.6" x14ac:dyDescent="0.25">
      <c r="A75" s="13" t="s">
        <v>26</v>
      </c>
      <c r="B75" s="6" t="s">
        <v>57</v>
      </c>
      <c r="C75" s="9" t="s">
        <v>66</v>
      </c>
      <c r="D75" s="7">
        <f>9.4*7.4</f>
        <v>69.56</v>
      </c>
      <c r="E75" s="8"/>
      <c r="F75" s="8">
        <f t="shared" si="5"/>
        <v>0</v>
      </c>
    </row>
    <row r="76" spans="1:7" s="1" customFormat="1" ht="69" x14ac:dyDescent="0.25">
      <c r="A76" s="13" t="s">
        <v>27</v>
      </c>
      <c r="B76" s="6" t="s">
        <v>83</v>
      </c>
      <c r="C76" s="9" t="s">
        <v>67</v>
      </c>
      <c r="D76" s="7">
        <f>9*7*0.1</f>
        <v>6.3000000000000007</v>
      </c>
      <c r="E76" s="8"/>
      <c r="F76" s="8">
        <f t="shared" si="5"/>
        <v>0</v>
      </c>
    </row>
    <row r="77" spans="1:7" s="1" customFormat="1" ht="69" x14ac:dyDescent="0.25">
      <c r="A77" s="13" t="s">
        <v>28</v>
      </c>
      <c r="B77" s="6" t="s">
        <v>55</v>
      </c>
      <c r="C77" s="9" t="s">
        <v>67</v>
      </c>
      <c r="D77" s="7">
        <f>3.2*1*0.08*2</f>
        <v>0.51200000000000001</v>
      </c>
      <c r="E77" s="8"/>
      <c r="F77" s="8">
        <f t="shared" si="5"/>
        <v>0</v>
      </c>
    </row>
    <row r="78" spans="1:7" s="1" customFormat="1" ht="55.2" x14ac:dyDescent="0.25">
      <c r="A78" s="13" t="s">
        <v>29</v>
      </c>
      <c r="B78" s="6" t="s">
        <v>56</v>
      </c>
      <c r="C78" s="9" t="s">
        <v>67</v>
      </c>
      <c r="D78" s="14">
        <f>2*(((1.03*2)+(2.16*0.9))*0.45)/2</f>
        <v>1.8018000000000003</v>
      </c>
      <c r="E78" s="8"/>
      <c r="F78" s="8">
        <f t="shared" si="5"/>
        <v>0</v>
      </c>
    </row>
    <row r="79" spans="1:7" s="1" customFormat="1" ht="13.8" x14ac:dyDescent="0.25">
      <c r="A79" s="62" t="s">
        <v>17</v>
      </c>
      <c r="B79" s="62"/>
      <c r="C79" s="62"/>
      <c r="D79" s="62"/>
      <c r="E79" s="62"/>
      <c r="F79" s="12">
        <f>SUM(F73:F78)</f>
        <v>0</v>
      </c>
    </row>
    <row r="80" spans="1:7" s="1" customFormat="1" ht="13.8" x14ac:dyDescent="0.25">
      <c r="A80" s="2">
        <v>3</v>
      </c>
      <c r="B80" s="61" t="s">
        <v>8</v>
      </c>
      <c r="C80" s="61"/>
      <c r="D80" s="61"/>
      <c r="E80" s="61"/>
      <c r="F80" s="61"/>
    </row>
    <row r="81" spans="1:8" s="1" customFormat="1" ht="44.4" x14ac:dyDescent="0.25">
      <c r="A81" s="13" t="s">
        <v>30</v>
      </c>
      <c r="B81" s="6" t="s">
        <v>68</v>
      </c>
      <c r="C81" s="9" t="s">
        <v>67</v>
      </c>
      <c r="D81" s="7">
        <f>10*0.15*0.15*4</f>
        <v>0.89999999999999991</v>
      </c>
      <c r="E81" s="8"/>
      <c r="F81" s="8">
        <f t="shared" ref="F81:F90" si="6">+E81*D81</f>
        <v>0</v>
      </c>
    </row>
    <row r="82" spans="1:8" s="1" customFormat="1" ht="44.4" x14ac:dyDescent="0.25">
      <c r="A82" s="13" t="s">
        <v>31</v>
      </c>
      <c r="B82" s="6" t="s">
        <v>69</v>
      </c>
      <c r="C82" s="9" t="s">
        <v>67</v>
      </c>
      <c r="D82" s="7">
        <f>32.6*0.15*0.2</f>
        <v>0.97799999999999998</v>
      </c>
      <c r="E82" s="8"/>
      <c r="F82" s="8">
        <f t="shared" si="6"/>
        <v>0</v>
      </c>
    </row>
    <row r="83" spans="1:8" s="1" customFormat="1" ht="27.6" x14ac:dyDescent="0.25">
      <c r="A83" s="13" t="s">
        <v>32</v>
      </c>
      <c r="B83" s="6" t="s">
        <v>62</v>
      </c>
      <c r="C83" s="9" t="s">
        <v>66</v>
      </c>
      <c r="D83" s="7">
        <f>+((32.6*2.9)-((4*1.8*1.2)+(2*1.2*1.1)))</f>
        <v>83.26</v>
      </c>
      <c r="E83" s="8"/>
      <c r="F83" s="8">
        <f t="shared" si="6"/>
        <v>0</v>
      </c>
    </row>
    <row r="84" spans="1:8" s="1" customFormat="1" ht="41.4" x14ac:dyDescent="0.25">
      <c r="A84" s="13" t="s">
        <v>33</v>
      </c>
      <c r="B84" s="6" t="s">
        <v>59</v>
      </c>
      <c r="C84" s="9" t="s">
        <v>66</v>
      </c>
      <c r="D84" s="7">
        <f>+D83</f>
        <v>83.26</v>
      </c>
      <c r="E84" s="8"/>
      <c r="F84" s="8">
        <f t="shared" si="6"/>
        <v>0</v>
      </c>
    </row>
    <row r="85" spans="1:8" s="1" customFormat="1" ht="27.6" x14ac:dyDescent="0.25">
      <c r="A85" s="13" t="s">
        <v>34</v>
      </c>
      <c r="B85" s="6" t="s">
        <v>58</v>
      </c>
      <c r="C85" s="9" t="s">
        <v>66</v>
      </c>
      <c r="D85" s="7">
        <f>+D83</f>
        <v>83.26</v>
      </c>
      <c r="E85" s="8"/>
      <c r="F85" s="8">
        <f t="shared" si="6"/>
        <v>0</v>
      </c>
    </row>
    <row r="86" spans="1:8" s="1" customFormat="1" ht="27.6" x14ac:dyDescent="0.25">
      <c r="A86" s="13" t="s">
        <v>35</v>
      </c>
      <c r="B86" s="6" t="s">
        <v>63</v>
      </c>
      <c r="C86" s="9" t="s">
        <v>66</v>
      </c>
      <c r="D86" s="7">
        <f>+((32.6*1.6)-((2*1.6*1.2)+(1.8*0.6*4)))</f>
        <v>44</v>
      </c>
      <c r="E86" s="8"/>
      <c r="F86" s="8">
        <f t="shared" si="6"/>
        <v>0</v>
      </c>
    </row>
    <row r="87" spans="1:8" s="1" customFormat="1" ht="27.6" x14ac:dyDescent="0.25">
      <c r="A87" s="13" t="s">
        <v>36</v>
      </c>
      <c r="B87" s="6" t="s">
        <v>60</v>
      </c>
      <c r="C87" s="9" t="s">
        <v>66</v>
      </c>
      <c r="D87" s="7">
        <f>6*1.4*2</f>
        <v>16.799999999999997</v>
      </c>
      <c r="E87" s="8"/>
      <c r="F87" s="8">
        <f t="shared" si="6"/>
        <v>0</v>
      </c>
    </row>
    <row r="88" spans="1:8" s="1" customFormat="1" ht="27.6" x14ac:dyDescent="0.25">
      <c r="A88" s="13" t="s">
        <v>37</v>
      </c>
      <c r="B88" s="6" t="s">
        <v>113</v>
      </c>
      <c r="C88" s="9" t="s">
        <v>66</v>
      </c>
      <c r="D88" s="7">
        <f>+(32.6-1.2)*1</f>
        <v>31.400000000000002</v>
      </c>
      <c r="E88" s="8"/>
      <c r="F88" s="8">
        <f t="shared" si="6"/>
        <v>0</v>
      </c>
    </row>
    <row r="89" spans="1:8" s="1" customFormat="1" ht="41.4" x14ac:dyDescent="0.25">
      <c r="A89" s="13" t="s">
        <v>38</v>
      </c>
      <c r="B89" s="6" t="s">
        <v>114</v>
      </c>
      <c r="C89" s="9" t="s">
        <v>66</v>
      </c>
      <c r="D89" s="7">
        <f>+D84+D88</f>
        <v>114.66000000000001</v>
      </c>
      <c r="E89" s="8"/>
      <c r="F89" s="8">
        <f t="shared" si="6"/>
        <v>0</v>
      </c>
    </row>
    <row r="90" spans="1:8" s="1" customFormat="1" ht="13.8" x14ac:dyDescent="0.25">
      <c r="A90" s="13" t="s">
        <v>39</v>
      </c>
      <c r="B90" s="6" t="s">
        <v>9</v>
      </c>
      <c r="C90" s="9" t="s">
        <v>10</v>
      </c>
      <c r="D90" s="7">
        <v>12</v>
      </c>
      <c r="E90" s="8"/>
      <c r="F90" s="8">
        <f t="shared" si="6"/>
        <v>0</v>
      </c>
    </row>
    <row r="91" spans="1:8" s="1" customFormat="1" ht="13.8" x14ac:dyDescent="0.25">
      <c r="A91" s="62" t="s">
        <v>18</v>
      </c>
      <c r="B91" s="62"/>
      <c r="C91" s="62"/>
      <c r="D91" s="62"/>
      <c r="E91" s="62"/>
      <c r="F91" s="12">
        <f>SUM(F81:F90)</f>
        <v>0</v>
      </c>
    </row>
    <row r="92" spans="1:8" s="1" customFormat="1" ht="13.8" x14ac:dyDescent="0.25">
      <c r="A92" s="2">
        <v>4</v>
      </c>
      <c r="B92" s="61" t="s">
        <v>11</v>
      </c>
      <c r="C92" s="61"/>
      <c r="D92" s="61"/>
      <c r="E92" s="61"/>
      <c r="F92" s="61"/>
    </row>
    <row r="93" spans="1:8" s="1" customFormat="1" ht="55.2" x14ac:dyDescent="0.25">
      <c r="A93" s="13" t="s">
        <v>40</v>
      </c>
      <c r="B93" s="6" t="s">
        <v>115</v>
      </c>
      <c r="C93" s="9" t="s">
        <v>12</v>
      </c>
      <c r="D93" s="9">
        <v>9.6999999999999993</v>
      </c>
      <c r="E93" s="8"/>
      <c r="F93" s="8">
        <f t="shared" ref="F93:F98" si="7">+E93*D93</f>
        <v>0</v>
      </c>
    </row>
    <row r="94" spans="1:8" s="1" customFormat="1" ht="69" x14ac:dyDescent="0.25">
      <c r="A94" s="13" t="s">
        <v>79</v>
      </c>
      <c r="B94" s="6" t="s">
        <v>116</v>
      </c>
      <c r="C94" s="9" t="s">
        <v>12</v>
      </c>
      <c r="D94" s="9">
        <f>4*2</f>
        <v>8</v>
      </c>
      <c r="E94" s="8"/>
      <c r="F94" s="8">
        <f t="shared" si="7"/>
        <v>0</v>
      </c>
      <c r="G94" s="31"/>
      <c r="H94" s="39"/>
    </row>
    <row r="95" spans="1:8" s="1" customFormat="1" ht="48" customHeight="1" x14ac:dyDescent="0.25">
      <c r="A95" s="13" t="s">
        <v>80</v>
      </c>
      <c r="B95" s="6" t="s">
        <v>117</v>
      </c>
      <c r="C95" s="9" t="s">
        <v>12</v>
      </c>
      <c r="D95" s="7">
        <f>7.15*2+9.15</f>
        <v>23.450000000000003</v>
      </c>
      <c r="E95" s="8"/>
      <c r="F95" s="8">
        <f t="shared" si="7"/>
        <v>0</v>
      </c>
      <c r="G95" s="38"/>
      <c r="H95" s="35"/>
    </row>
    <row r="96" spans="1:8" s="1" customFormat="1" ht="27.6" x14ac:dyDescent="0.25">
      <c r="A96" s="13" t="s">
        <v>108</v>
      </c>
      <c r="B96" s="6" t="s">
        <v>119</v>
      </c>
      <c r="C96" s="9" t="s">
        <v>66</v>
      </c>
      <c r="D96" s="7">
        <f>1.98*4*2</f>
        <v>15.84</v>
      </c>
      <c r="E96" s="45"/>
      <c r="F96" s="8">
        <f t="shared" si="7"/>
        <v>0</v>
      </c>
    </row>
    <row r="97" spans="1:8" s="1" customFormat="1" ht="47.25" customHeight="1" x14ac:dyDescent="0.25">
      <c r="A97" s="13" t="s">
        <v>118</v>
      </c>
      <c r="B97" s="6" t="s">
        <v>121</v>
      </c>
      <c r="C97" s="9" t="s">
        <v>67</v>
      </c>
      <c r="D97" s="7">
        <f>0.4*0.4*0.4*2</f>
        <v>0.12800000000000003</v>
      </c>
      <c r="E97" s="8"/>
      <c r="F97" s="8">
        <f t="shared" si="7"/>
        <v>0</v>
      </c>
    </row>
    <row r="98" spans="1:8" s="1" customFormat="1" ht="55.2" x14ac:dyDescent="0.25">
      <c r="A98" s="13" t="s">
        <v>120</v>
      </c>
      <c r="B98" s="6" t="s">
        <v>124</v>
      </c>
      <c r="C98" s="9" t="s">
        <v>123</v>
      </c>
      <c r="D98" s="7">
        <v>2</v>
      </c>
      <c r="E98" s="45"/>
      <c r="F98" s="8">
        <f t="shared" si="7"/>
        <v>0</v>
      </c>
    </row>
    <row r="99" spans="1:8" s="1" customFormat="1" ht="13.8" x14ac:dyDescent="0.25">
      <c r="A99" s="62" t="s">
        <v>19</v>
      </c>
      <c r="B99" s="62"/>
      <c r="C99" s="62"/>
      <c r="D99" s="62"/>
      <c r="E99" s="62"/>
      <c r="F99" s="12">
        <f>SUM(F93:F98)</f>
        <v>0</v>
      </c>
    </row>
    <row r="100" spans="1:8" s="1" customFormat="1" ht="13.8" x14ac:dyDescent="0.25">
      <c r="A100" s="2">
        <v>5</v>
      </c>
      <c r="B100" s="61" t="s">
        <v>48</v>
      </c>
      <c r="C100" s="61"/>
      <c r="D100" s="61"/>
      <c r="E100" s="61"/>
      <c r="F100" s="61"/>
    </row>
    <row r="101" spans="1:8" s="1" customFormat="1" ht="96" customHeight="1" x14ac:dyDescent="0.25">
      <c r="A101" s="13" t="s">
        <v>41</v>
      </c>
      <c r="B101" s="6" t="s">
        <v>111</v>
      </c>
      <c r="C101" s="9" t="s">
        <v>10</v>
      </c>
      <c r="D101" s="7">
        <v>2</v>
      </c>
      <c r="E101" s="8"/>
      <c r="F101" s="8">
        <f>+E101*D101</f>
        <v>0</v>
      </c>
    </row>
    <row r="102" spans="1:8" s="1" customFormat="1" ht="141" customHeight="1" x14ac:dyDescent="0.25">
      <c r="A102" s="13" t="s">
        <v>42</v>
      </c>
      <c r="B102" s="6" t="s">
        <v>125</v>
      </c>
      <c r="C102" s="9" t="s">
        <v>10</v>
      </c>
      <c r="D102" s="7">
        <v>4</v>
      </c>
      <c r="E102" s="8"/>
      <c r="F102" s="8">
        <f t="shared" ref="F102:F103" si="8">+E102*D102</f>
        <v>0</v>
      </c>
    </row>
    <row r="103" spans="1:8" s="1" customFormat="1" ht="107.25" customHeight="1" x14ac:dyDescent="0.25">
      <c r="A103" s="13" t="s">
        <v>43</v>
      </c>
      <c r="B103" s="6" t="s">
        <v>126</v>
      </c>
      <c r="C103" s="9" t="s">
        <v>12</v>
      </c>
      <c r="D103" s="7">
        <f>2*(((2.05*2)+1.1)*3)+(0.6*34)</f>
        <v>51.599999999999994</v>
      </c>
      <c r="E103" s="8"/>
      <c r="F103" s="8">
        <f t="shared" si="8"/>
        <v>0</v>
      </c>
      <c r="G103" s="38"/>
    </row>
    <row r="104" spans="1:8" s="1" customFormat="1" ht="13.8" x14ac:dyDescent="0.25">
      <c r="A104" s="62" t="s">
        <v>49</v>
      </c>
      <c r="B104" s="62"/>
      <c r="C104" s="62"/>
      <c r="D104" s="62"/>
      <c r="E104" s="62"/>
      <c r="F104" s="12">
        <f>SUM(F101:F103)</f>
        <v>0</v>
      </c>
    </row>
    <row r="105" spans="1:8" s="1" customFormat="1" ht="13.8" x14ac:dyDescent="0.25">
      <c r="A105" s="2">
        <v>6</v>
      </c>
      <c r="B105" s="61" t="s">
        <v>13</v>
      </c>
      <c r="C105" s="61"/>
      <c r="D105" s="61"/>
      <c r="E105" s="61"/>
      <c r="F105" s="61"/>
    </row>
    <row r="106" spans="1:8" s="1" customFormat="1" ht="16.8" x14ac:dyDescent="0.25">
      <c r="A106" s="13" t="s">
        <v>44</v>
      </c>
      <c r="B106" s="6" t="s">
        <v>14</v>
      </c>
      <c r="C106" s="9" t="s">
        <v>66</v>
      </c>
      <c r="D106" s="7">
        <f>2*((2*1.2*2.2)+(4*1.8*1.2))</f>
        <v>27.840000000000003</v>
      </c>
      <c r="E106" s="43"/>
      <c r="F106" s="8">
        <f>+E106*D106</f>
        <v>0</v>
      </c>
    </row>
    <row r="107" spans="1:8" s="1" customFormat="1" ht="27.6" x14ac:dyDescent="0.25">
      <c r="A107" s="13" t="s">
        <v>45</v>
      </c>
      <c r="B107" s="40" t="s">
        <v>127</v>
      </c>
      <c r="C107" s="41" t="s">
        <v>66</v>
      </c>
      <c r="D107" s="42">
        <f>+(32.6*2.4)-((2*1.2*0.6)+(4*1.8*0.6))</f>
        <v>72.47999999999999</v>
      </c>
      <c r="E107" s="43"/>
      <c r="F107" s="8">
        <f t="shared" ref="F107:F109" si="9">+E107*D107</f>
        <v>0</v>
      </c>
      <c r="G107" s="38"/>
      <c r="H107" s="44"/>
    </row>
    <row r="108" spans="1:8" s="1" customFormat="1" ht="27.6" x14ac:dyDescent="0.25">
      <c r="A108" s="13" t="s">
        <v>46</v>
      </c>
      <c r="B108" s="40" t="s">
        <v>128</v>
      </c>
      <c r="C108" s="41" t="s">
        <v>66</v>
      </c>
      <c r="D108" s="42">
        <f>+(32.6*2.4)-((2*1.2*0.6)+(4*1.8*0.6))</f>
        <v>72.47999999999999</v>
      </c>
      <c r="E108" s="43"/>
      <c r="F108" s="8">
        <f t="shared" si="9"/>
        <v>0</v>
      </c>
      <c r="G108" s="38"/>
      <c r="H108" s="44"/>
    </row>
    <row r="109" spans="1:8" s="1" customFormat="1" ht="16.8" x14ac:dyDescent="0.25">
      <c r="A109" s="13" t="s">
        <v>47</v>
      </c>
      <c r="B109" s="6" t="s">
        <v>50</v>
      </c>
      <c r="C109" s="9" t="s">
        <v>66</v>
      </c>
      <c r="D109" s="7">
        <f>6*1.4*2</f>
        <v>16.799999999999997</v>
      </c>
      <c r="E109" s="8"/>
      <c r="F109" s="8">
        <f t="shared" si="9"/>
        <v>0</v>
      </c>
    </row>
    <row r="110" spans="1:8" s="1" customFormat="1" ht="13.8" x14ac:dyDescent="0.25">
      <c r="A110" s="62" t="s">
        <v>51</v>
      </c>
      <c r="B110" s="62"/>
      <c r="C110" s="62"/>
      <c r="D110" s="62"/>
      <c r="E110" s="62"/>
      <c r="F110" s="12">
        <f>SUM(F106:F109)</f>
        <v>0</v>
      </c>
    </row>
    <row r="111" spans="1:8" s="1" customFormat="1" ht="13.8" x14ac:dyDescent="0.25">
      <c r="A111" s="2">
        <v>7</v>
      </c>
      <c r="B111" s="61" t="s">
        <v>84</v>
      </c>
      <c r="C111" s="61"/>
      <c r="D111" s="61"/>
      <c r="E111" s="61"/>
      <c r="F111" s="61"/>
    </row>
    <row r="112" spans="1:8" s="1" customFormat="1" ht="27.6" x14ac:dyDescent="0.25">
      <c r="A112" s="24" t="s">
        <v>85</v>
      </c>
      <c r="B112" s="6" t="s">
        <v>86</v>
      </c>
      <c r="C112" s="9" t="s">
        <v>10</v>
      </c>
      <c r="D112" s="9">
        <v>100</v>
      </c>
      <c r="E112" s="25"/>
      <c r="F112" s="8">
        <f>D112*E112</f>
        <v>0</v>
      </c>
    </row>
    <row r="113" spans="1:7" s="1" customFormat="1" ht="13.8" x14ac:dyDescent="0.25">
      <c r="A113" s="62" t="s">
        <v>87</v>
      </c>
      <c r="B113" s="62"/>
      <c r="C113" s="62"/>
      <c r="D113" s="62"/>
      <c r="E113" s="62"/>
      <c r="F113" s="12">
        <f>F112</f>
        <v>0</v>
      </c>
    </row>
    <row r="114" spans="1:7" s="1" customFormat="1" ht="13.8" x14ac:dyDescent="0.25">
      <c r="A114" s="63" t="s">
        <v>98</v>
      </c>
      <c r="B114" s="63"/>
      <c r="C114" s="63"/>
      <c r="D114" s="63"/>
      <c r="E114" s="63"/>
      <c r="F114" s="22">
        <f>SUM(F113,F110,F104,F99,F91,F79,F71)</f>
        <v>0</v>
      </c>
    </row>
    <row r="115" spans="1:7" s="1" customFormat="1" ht="13.8" x14ac:dyDescent="0.25">
      <c r="A115" s="63" t="s">
        <v>97</v>
      </c>
      <c r="B115" s="63"/>
      <c r="C115" s="63"/>
      <c r="D115" s="63"/>
      <c r="E115" s="63"/>
      <c r="F115" s="22">
        <f>+F114*0.18</f>
        <v>0</v>
      </c>
    </row>
    <row r="116" spans="1:7" s="1" customFormat="1" ht="13.8" x14ac:dyDescent="0.25">
      <c r="A116" s="63" t="s">
        <v>112</v>
      </c>
      <c r="B116" s="63"/>
      <c r="C116" s="63"/>
      <c r="D116" s="63"/>
      <c r="E116" s="63"/>
      <c r="F116" s="22">
        <f>+F114+F115</f>
        <v>0</v>
      </c>
    </row>
    <row r="117" spans="1:7" s="1" customFormat="1" ht="13.8" x14ac:dyDescent="0.25">
      <c r="A117" s="20"/>
      <c r="B117" s="20"/>
      <c r="C117" s="20"/>
      <c r="D117" s="20"/>
      <c r="E117" s="20"/>
      <c r="F117" s="60"/>
    </row>
    <row r="119" spans="1:7" s="1" customFormat="1" ht="33.6" customHeight="1" x14ac:dyDescent="0.25">
      <c r="A119" s="64" t="s">
        <v>133</v>
      </c>
      <c r="B119" s="64"/>
      <c r="C119" s="64"/>
      <c r="D119" s="64"/>
      <c r="E119" s="64"/>
      <c r="F119" s="64"/>
    </row>
    <row r="120" spans="1:7" s="1" customFormat="1" ht="13.8" x14ac:dyDescent="0.25">
      <c r="A120" s="19"/>
      <c r="B120" s="19"/>
      <c r="C120" s="19"/>
      <c r="D120" s="19"/>
      <c r="E120" s="19"/>
      <c r="F120" s="19"/>
    </row>
    <row r="121" spans="1:7" s="1" customFormat="1" ht="38.25" customHeight="1" x14ac:dyDescent="0.25">
      <c r="A121" s="65" t="s">
        <v>139</v>
      </c>
      <c r="B121" s="65"/>
      <c r="C121" s="65"/>
      <c r="D121" s="65"/>
      <c r="E121" s="65"/>
      <c r="F121" s="65"/>
    </row>
    <row r="122" spans="1:7" s="1" customFormat="1" ht="13.8" x14ac:dyDescent="0.25">
      <c r="A122" s="2" t="s">
        <v>0</v>
      </c>
      <c r="B122" s="3" t="s">
        <v>1</v>
      </c>
      <c r="C122" s="3" t="s">
        <v>2</v>
      </c>
      <c r="D122" s="3" t="s">
        <v>15</v>
      </c>
      <c r="E122" s="4" t="s">
        <v>76</v>
      </c>
      <c r="F122" s="4" t="s">
        <v>77</v>
      </c>
      <c r="G122" s="11"/>
    </row>
    <row r="123" spans="1:7" s="1" customFormat="1" ht="13.8" x14ac:dyDescent="0.25">
      <c r="A123" s="2">
        <v>1</v>
      </c>
      <c r="B123" s="61" t="s">
        <v>3</v>
      </c>
      <c r="C123" s="61"/>
      <c r="D123" s="61"/>
      <c r="E123" s="61"/>
      <c r="F123" s="61"/>
    </row>
    <row r="124" spans="1:7" s="1" customFormat="1" ht="13.8" x14ac:dyDescent="0.25">
      <c r="A124" s="5" t="s">
        <v>20</v>
      </c>
      <c r="B124" s="6" t="s">
        <v>61</v>
      </c>
      <c r="C124" s="9" t="s">
        <v>5</v>
      </c>
      <c r="D124" s="7">
        <v>1</v>
      </c>
      <c r="E124" s="8"/>
      <c r="F124" s="8">
        <f t="shared" ref="F124:F129" si="10">+E124*D124</f>
        <v>0</v>
      </c>
    </row>
    <row r="125" spans="1:7" s="11" customFormat="1" ht="41.4" x14ac:dyDescent="0.25">
      <c r="A125" s="5" t="s">
        <v>21</v>
      </c>
      <c r="B125" s="6" t="s">
        <v>52</v>
      </c>
      <c r="C125" s="9" t="s">
        <v>4</v>
      </c>
      <c r="D125" s="9">
        <f>0.3*1*10</f>
        <v>3</v>
      </c>
      <c r="E125" s="10"/>
      <c r="F125" s="8">
        <f t="shared" si="10"/>
        <v>0</v>
      </c>
    </row>
    <row r="126" spans="1:7" s="11" customFormat="1" ht="27.6" x14ac:dyDescent="0.25">
      <c r="A126" s="5" t="s">
        <v>22</v>
      </c>
      <c r="B126" s="6" t="s">
        <v>82</v>
      </c>
      <c r="C126" s="9" t="s">
        <v>5</v>
      </c>
      <c r="D126" s="9">
        <v>1</v>
      </c>
      <c r="E126" s="10"/>
      <c r="F126" s="8">
        <f t="shared" si="10"/>
        <v>0</v>
      </c>
    </row>
    <row r="127" spans="1:7" s="11" customFormat="1" ht="65.25" customHeight="1" x14ac:dyDescent="0.25">
      <c r="A127" s="5" t="s">
        <v>23</v>
      </c>
      <c r="B127" s="6" t="s">
        <v>103</v>
      </c>
      <c r="C127" s="15" t="s">
        <v>65</v>
      </c>
      <c r="D127" s="30">
        <f>((5.36+5.03*3.93)*0.4*0.4)*2</f>
        <v>8.040928000000001</v>
      </c>
      <c r="E127" s="10"/>
      <c r="F127" s="8">
        <f t="shared" si="10"/>
        <v>0</v>
      </c>
      <c r="G127" s="38"/>
    </row>
    <row r="128" spans="1:7" s="11" customFormat="1" ht="57.6" customHeight="1" x14ac:dyDescent="0.25">
      <c r="A128" s="5" t="s">
        <v>81</v>
      </c>
      <c r="B128" s="6" t="s">
        <v>6</v>
      </c>
      <c r="C128" s="15" t="s">
        <v>65</v>
      </c>
      <c r="D128" s="9">
        <f>3.2*1*0.45*2</f>
        <v>2.8800000000000003</v>
      </c>
      <c r="E128" s="10"/>
      <c r="F128" s="8">
        <f t="shared" si="10"/>
        <v>0</v>
      </c>
      <c r="G128" s="38"/>
    </row>
    <row r="129" spans="1:7" s="11" customFormat="1" ht="27.6" x14ac:dyDescent="0.25">
      <c r="A129" s="32" t="s">
        <v>105</v>
      </c>
      <c r="B129" s="33" t="s">
        <v>106</v>
      </c>
      <c r="C129" s="15" t="s">
        <v>110</v>
      </c>
      <c r="D129" s="15">
        <f>9*7</f>
        <v>63</v>
      </c>
      <c r="E129" s="34"/>
      <c r="F129" s="8">
        <f t="shared" si="10"/>
        <v>0</v>
      </c>
      <c r="G129" s="38"/>
    </row>
    <row r="130" spans="1:7" s="1" customFormat="1" ht="13.8" x14ac:dyDescent="0.25">
      <c r="A130" s="62" t="s">
        <v>16</v>
      </c>
      <c r="B130" s="62"/>
      <c r="C130" s="62"/>
      <c r="D130" s="62"/>
      <c r="E130" s="62"/>
      <c r="F130" s="12">
        <f>SUM(F124:F129)</f>
        <v>0</v>
      </c>
    </row>
    <row r="131" spans="1:7" s="1" customFormat="1" ht="13.8" x14ac:dyDescent="0.25">
      <c r="A131" s="2">
        <v>2</v>
      </c>
      <c r="B131" s="61" t="s">
        <v>7</v>
      </c>
      <c r="C131" s="61"/>
      <c r="D131" s="61"/>
      <c r="E131" s="61"/>
      <c r="F131" s="61"/>
    </row>
    <row r="132" spans="1:7" s="1" customFormat="1" ht="16.8" x14ac:dyDescent="0.25">
      <c r="A132" s="13" t="s">
        <v>24</v>
      </c>
      <c r="B132" s="6" t="s">
        <v>54</v>
      </c>
      <c r="C132" s="15" t="s">
        <v>65</v>
      </c>
      <c r="D132" s="9">
        <f>5.2*0.4*0.05*2</f>
        <v>0.20800000000000002</v>
      </c>
      <c r="E132" s="8"/>
      <c r="F132" s="8">
        <f t="shared" ref="F132:F137" si="11">+E132*D132</f>
        <v>0</v>
      </c>
    </row>
    <row r="133" spans="1:7" s="1" customFormat="1" ht="27.6" x14ac:dyDescent="0.25">
      <c r="A133" s="13" t="s">
        <v>25</v>
      </c>
      <c r="B133" s="6" t="s">
        <v>53</v>
      </c>
      <c r="C133" s="9" t="s">
        <v>4</v>
      </c>
      <c r="D133" s="9">
        <f>5.2*0.69*2</f>
        <v>7.1759999999999993</v>
      </c>
      <c r="E133" s="8"/>
      <c r="F133" s="8">
        <f t="shared" si="11"/>
        <v>0</v>
      </c>
    </row>
    <row r="134" spans="1:7" s="1" customFormat="1" ht="27.6" x14ac:dyDescent="0.25">
      <c r="A134" s="13" t="s">
        <v>26</v>
      </c>
      <c r="B134" s="6" t="s">
        <v>57</v>
      </c>
      <c r="C134" s="9" t="s">
        <v>66</v>
      </c>
      <c r="D134" s="7">
        <f>9.4*7.4</f>
        <v>69.56</v>
      </c>
      <c r="E134" s="8"/>
      <c r="F134" s="8">
        <f t="shared" si="11"/>
        <v>0</v>
      </c>
    </row>
    <row r="135" spans="1:7" s="1" customFormat="1" ht="69" x14ac:dyDescent="0.25">
      <c r="A135" s="13" t="s">
        <v>27</v>
      </c>
      <c r="B135" s="6" t="s">
        <v>83</v>
      </c>
      <c r="C135" s="9" t="s">
        <v>67</v>
      </c>
      <c r="D135" s="7">
        <f>9*7*0.1</f>
        <v>6.3000000000000007</v>
      </c>
      <c r="E135" s="8"/>
      <c r="F135" s="8">
        <f t="shared" si="11"/>
        <v>0</v>
      </c>
    </row>
    <row r="136" spans="1:7" s="1" customFormat="1" ht="69" x14ac:dyDescent="0.25">
      <c r="A136" s="13" t="s">
        <v>28</v>
      </c>
      <c r="B136" s="6" t="s">
        <v>55</v>
      </c>
      <c r="C136" s="9" t="s">
        <v>67</v>
      </c>
      <c r="D136" s="7">
        <f>3.2*1*0.08*2</f>
        <v>0.51200000000000001</v>
      </c>
      <c r="E136" s="8"/>
      <c r="F136" s="8">
        <f t="shared" si="11"/>
        <v>0</v>
      </c>
    </row>
    <row r="137" spans="1:7" s="1" customFormat="1" ht="55.2" x14ac:dyDescent="0.25">
      <c r="A137" s="13" t="s">
        <v>29</v>
      </c>
      <c r="B137" s="6" t="s">
        <v>56</v>
      </c>
      <c r="C137" s="9" t="s">
        <v>67</v>
      </c>
      <c r="D137" s="14">
        <f>2*(((1.03*2)+(2.16*0.9))*0.45)/2</f>
        <v>1.8018000000000003</v>
      </c>
      <c r="E137" s="8"/>
      <c r="F137" s="8">
        <f t="shared" si="11"/>
        <v>0</v>
      </c>
    </row>
    <row r="138" spans="1:7" s="1" customFormat="1" ht="13.8" x14ac:dyDescent="0.25">
      <c r="A138" s="62" t="s">
        <v>17</v>
      </c>
      <c r="B138" s="62"/>
      <c r="C138" s="62"/>
      <c r="D138" s="62"/>
      <c r="E138" s="62"/>
      <c r="F138" s="12">
        <f>SUM(F132:F137)</f>
        <v>0</v>
      </c>
    </row>
    <row r="139" spans="1:7" s="1" customFormat="1" ht="13.8" x14ac:dyDescent="0.25">
      <c r="A139" s="2">
        <v>3</v>
      </c>
      <c r="B139" s="61" t="s">
        <v>8</v>
      </c>
      <c r="C139" s="61"/>
      <c r="D139" s="61"/>
      <c r="E139" s="61"/>
      <c r="F139" s="61"/>
    </row>
    <row r="140" spans="1:7" s="1" customFormat="1" ht="44.4" x14ac:dyDescent="0.25">
      <c r="A140" s="13" t="s">
        <v>30</v>
      </c>
      <c r="B140" s="6" t="s">
        <v>68</v>
      </c>
      <c r="C140" s="9" t="s">
        <v>67</v>
      </c>
      <c r="D140" s="7">
        <f>10*0.15*0.15*4</f>
        <v>0.89999999999999991</v>
      </c>
      <c r="E140" s="8"/>
      <c r="F140" s="8">
        <f t="shared" ref="F140:F149" si="12">+E140*D140</f>
        <v>0</v>
      </c>
    </row>
    <row r="141" spans="1:7" s="1" customFormat="1" ht="44.4" x14ac:dyDescent="0.25">
      <c r="A141" s="13" t="s">
        <v>31</v>
      </c>
      <c r="B141" s="6" t="s">
        <v>69</v>
      </c>
      <c r="C141" s="9" t="s">
        <v>67</v>
      </c>
      <c r="D141" s="7">
        <f>32.6*0.15*0.2</f>
        <v>0.97799999999999998</v>
      </c>
      <c r="E141" s="8"/>
      <c r="F141" s="8">
        <f t="shared" si="12"/>
        <v>0</v>
      </c>
    </row>
    <row r="142" spans="1:7" s="1" customFormat="1" ht="27.6" x14ac:dyDescent="0.25">
      <c r="A142" s="13" t="s">
        <v>32</v>
      </c>
      <c r="B142" s="6" t="s">
        <v>62</v>
      </c>
      <c r="C142" s="9" t="s">
        <v>66</v>
      </c>
      <c r="D142" s="7">
        <f>+((32.6*2.9)-((4*1.8*1.2)+(2*1.2*1.1)))</f>
        <v>83.26</v>
      </c>
      <c r="E142" s="8"/>
      <c r="F142" s="8">
        <f t="shared" si="12"/>
        <v>0</v>
      </c>
    </row>
    <row r="143" spans="1:7" s="1" customFormat="1" ht="41.4" x14ac:dyDescent="0.25">
      <c r="A143" s="13" t="s">
        <v>33</v>
      </c>
      <c r="B143" s="6" t="s">
        <v>59</v>
      </c>
      <c r="C143" s="9" t="s">
        <v>66</v>
      </c>
      <c r="D143" s="7">
        <f>+D142</f>
        <v>83.26</v>
      </c>
      <c r="E143" s="8"/>
      <c r="F143" s="8">
        <f t="shared" si="12"/>
        <v>0</v>
      </c>
    </row>
    <row r="144" spans="1:7" s="1" customFormat="1" ht="27.6" x14ac:dyDescent="0.25">
      <c r="A144" s="13" t="s">
        <v>34</v>
      </c>
      <c r="B144" s="6" t="s">
        <v>58</v>
      </c>
      <c r="C144" s="9" t="s">
        <v>66</v>
      </c>
      <c r="D144" s="7">
        <f>+D142</f>
        <v>83.26</v>
      </c>
      <c r="E144" s="8"/>
      <c r="F144" s="8">
        <f t="shared" si="12"/>
        <v>0</v>
      </c>
    </row>
    <row r="145" spans="1:8" s="1" customFormat="1" ht="27.6" x14ac:dyDescent="0.25">
      <c r="A145" s="13" t="s">
        <v>35</v>
      </c>
      <c r="B145" s="6" t="s">
        <v>63</v>
      </c>
      <c r="C145" s="9" t="s">
        <v>66</v>
      </c>
      <c r="D145" s="7">
        <f>+((32.6*1.6)-((2*1.6*1.2)+(1.8*0.6*4)))</f>
        <v>44</v>
      </c>
      <c r="E145" s="8"/>
      <c r="F145" s="8">
        <f t="shared" si="12"/>
        <v>0</v>
      </c>
    </row>
    <row r="146" spans="1:8" s="1" customFormat="1" ht="27.6" x14ac:dyDescent="0.25">
      <c r="A146" s="13" t="s">
        <v>36</v>
      </c>
      <c r="B146" s="6" t="s">
        <v>60</v>
      </c>
      <c r="C146" s="9" t="s">
        <v>66</v>
      </c>
      <c r="D146" s="7">
        <f>6*1.4*2</f>
        <v>16.799999999999997</v>
      </c>
      <c r="E146" s="8"/>
      <c r="F146" s="8">
        <f t="shared" si="12"/>
        <v>0</v>
      </c>
    </row>
    <row r="147" spans="1:8" s="1" customFormat="1" ht="27.6" x14ac:dyDescent="0.25">
      <c r="A147" s="13" t="s">
        <v>37</v>
      </c>
      <c r="B147" s="6" t="s">
        <v>113</v>
      </c>
      <c r="C147" s="9" t="s">
        <v>66</v>
      </c>
      <c r="D147" s="7">
        <f>+(32.6-1.2)*1</f>
        <v>31.400000000000002</v>
      </c>
      <c r="E147" s="8"/>
      <c r="F147" s="8">
        <f t="shared" si="12"/>
        <v>0</v>
      </c>
    </row>
    <row r="148" spans="1:8" s="1" customFormat="1" ht="41.4" x14ac:dyDescent="0.25">
      <c r="A148" s="13" t="s">
        <v>38</v>
      </c>
      <c r="B148" s="6" t="s">
        <v>114</v>
      </c>
      <c r="C148" s="9" t="s">
        <v>66</v>
      </c>
      <c r="D148" s="7">
        <f>+D143+D147</f>
        <v>114.66000000000001</v>
      </c>
      <c r="E148" s="8"/>
      <c r="F148" s="8">
        <f t="shared" si="12"/>
        <v>0</v>
      </c>
    </row>
    <row r="149" spans="1:8" s="1" customFormat="1" ht="13.8" x14ac:dyDescent="0.25">
      <c r="A149" s="13" t="s">
        <v>39</v>
      </c>
      <c r="B149" s="6" t="s">
        <v>9</v>
      </c>
      <c r="C149" s="9" t="s">
        <v>10</v>
      </c>
      <c r="D149" s="7">
        <v>12</v>
      </c>
      <c r="E149" s="8"/>
      <c r="F149" s="8">
        <f t="shared" si="12"/>
        <v>0</v>
      </c>
    </row>
    <row r="150" spans="1:8" s="1" customFormat="1" ht="13.8" x14ac:dyDescent="0.25">
      <c r="A150" s="62" t="s">
        <v>18</v>
      </c>
      <c r="B150" s="62"/>
      <c r="C150" s="62"/>
      <c r="D150" s="62"/>
      <c r="E150" s="62"/>
      <c r="F150" s="12">
        <f>SUM(F140:F149)</f>
        <v>0</v>
      </c>
    </row>
    <row r="151" spans="1:8" s="1" customFormat="1" ht="13.8" x14ac:dyDescent="0.25">
      <c r="A151" s="2">
        <v>4</v>
      </c>
      <c r="B151" s="61" t="s">
        <v>11</v>
      </c>
      <c r="C151" s="61"/>
      <c r="D151" s="61"/>
      <c r="E151" s="61"/>
      <c r="F151" s="61"/>
    </row>
    <row r="152" spans="1:8" s="1" customFormat="1" ht="55.2" x14ac:dyDescent="0.25">
      <c r="A152" s="13" t="s">
        <v>40</v>
      </c>
      <c r="B152" s="6" t="s">
        <v>115</v>
      </c>
      <c r="C152" s="9" t="s">
        <v>12</v>
      </c>
      <c r="D152" s="9">
        <v>9.6999999999999993</v>
      </c>
      <c r="E152" s="8"/>
      <c r="F152" s="8">
        <f t="shared" ref="F152:F157" si="13">+E152*D152</f>
        <v>0</v>
      </c>
    </row>
    <row r="153" spans="1:8" s="1" customFormat="1" ht="69" x14ac:dyDescent="0.25">
      <c r="A153" s="13" t="s">
        <v>79</v>
      </c>
      <c r="B153" s="6" t="s">
        <v>116</v>
      </c>
      <c r="C153" s="9" t="s">
        <v>12</v>
      </c>
      <c r="D153" s="9">
        <f>4*2</f>
        <v>8</v>
      </c>
      <c r="E153" s="8"/>
      <c r="F153" s="8">
        <f t="shared" si="13"/>
        <v>0</v>
      </c>
      <c r="G153" s="31"/>
      <c r="H153" s="39"/>
    </row>
    <row r="154" spans="1:8" s="1" customFormat="1" ht="48" customHeight="1" x14ac:dyDescent="0.25">
      <c r="A154" s="13" t="s">
        <v>80</v>
      </c>
      <c r="B154" s="6" t="s">
        <v>117</v>
      </c>
      <c r="C154" s="9" t="s">
        <v>12</v>
      </c>
      <c r="D154" s="7">
        <f>7.15*2+9.15</f>
        <v>23.450000000000003</v>
      </c>
      <c r="E154" s="8"/>
      <c r="F154" s="8">
        <f t="shared" si="13"/>
        <v>0</v>
      </c>
      <c r="G154" s="38"/>
      <c r="H154" s="35"/>
    </row>
    <row r="155" spans="1:8" s="1" customFormat="1" ht="27.6" x14ac:dyDescent="0.25">
      <c r="A155" s="13" t="s">
        <v>108</v>
      </c>
      <c r="B155" s="6" t="s">
        <v>119</v>
      </c>
      <c r="C155" s="9" t="s">
        <v>66</v>
      </c>
      <c r="D155" s="7">
        <f>1.98*4*2</f>
        <v>15.84</v>
      </c>
      <c r="E155" s="45"/>
      <c r="F155" s="8">
        <f t="shared" si="13"/>
        <v>0</v>
      </c>
    </row>
    <row r="156" spans="1:8" s="1" customFormat="1" ht="47.25" customHeight="1" x14ac:dyDescent="0.25">
      <c r="A156" s="13" t="s">
        <v>118</v>
      </c>
      <c r="B156" s="6" t="s">
        <v>121</v>
      </c>
      <c r="C156" s="9" t="s">
        <v>67</v>
      </c>
      <c r="D156" s="7">
        <f>0.4*0.4*0.4*2</f>
        <v>0.12800000000000003</v>
      </c>
      <c r="E156" s="8"/>
      <c r="F156" s="8">
        <f t="shared" si="13"/>
        <v>0</v>
      </c>
    </row>
    <row r="157" spans="1:8" s="1" customFormat="1" ht="55.2" x14ac:dyDescent="0.25">
      <c r="A157" s="13" t="s">
        <v>120</v>
      </c>
      <c r="B157" s="6" t="s">
        <v>124</v>
      </c>
      <c r="C157" s="9" t="s">
        <v>123</v>
      </c>
      <c r="D157" s="7">
        <v>2</v>
      </c>
      <c r="E157" s="45"/>
      <c r="F157" s="8">
        <f t="shared" si="13"/>
        <v>0</v>
      </c>
    </row>
    <row r="158" spans="1:8" s="1" customFormat="1" ht="13.8" x14ac:dyDescent="0.25">
      <c r="A158" s="62" t="s">
        <v>19</v>
      </c>
      <c r="B158" s="62"/>
      <c r="C158" s="62"/>
      <c r="D158" s="62"/>
      <c r="E158" s="62"/>
      <c r="F158" s="12">
        <f>SUM(F152:F157)</f>
        <v>0</v>
      </c>
    </row>
    <row r="159" spans="1:8" s="1" customFormat="1" ht="13.8" x14ac:dyDescent="0.25">
      <c r="A159" s="2">
        <v>5</v>
      </c>
      <c r="B159" s="61" t="s">
        <v>48</v>
      </c>
      <c r="C159" s="61"/>
      <c r="D159" s="61"/>
      <c r="E159" s="61"/>
      <c r="F159" s="61"/>
    </row>
    <row r="160" spans="1:8" s="1" customFormat="1" ht="96" customHeight="1" x14ac:dyDescent="0.25">
      <c r="A160" s="13" t="s">
        <v>41</v>
      </c>
      <c r="B160" s="6" t="s">
        <v>111</v>
      </c>
      <c r="C160" s="9" t="s">
        <v>10</v>
      </c>
      <c r="D160" s="7">
        <v>2</v>
      </c>
      <c r="E160" s="8"/>
      <c r="F160" s="8">
        <f>+E160*D160</f>
        <v>0</v>
      </c>
    </row>
    <row r="161" spans="1:8" s="1" customFormat="1" ht="141" customHeight="1" x14ac:dyDescent="0.25">
      <c r="A161" s="13" t="s">
        <v>42</v>
      </c>
      <c r="B161" s="6" t="s">
        <v>125</v>
      </c>
      <c r="C161" s="9" t="s">
        <v>10</v>
      </c>
      <c r="D161" s="7">
        <v>4</v>
      </c>
      <c r="E161" s="8"/>
      <c r="F161" s="8">
        <f t="shared" ref="F161:F162" si="14">+E161*D161</f>
        <v>0</v>
      </c>
    </row>
    <row r="162" spans="1:8" s="1" customFormat="1" ht="107.25" customHeight="1" x14ac:dyDescent="0.25">
      <c r="A162" s="13" t="s">
        <v>43</v>
      </c>
      <c r="B162" s="6" t="s">
        <v>126</v>
      </c>
      <c r="C162" s="9" t="s">
        <v>12</v>
      </c>
      <c r="D162" s="7">
        <f>2*(((2.05*2)+1.1)*3)+(0.6*34)</f>
        <v>51.599999999999994</v>
      </c>
      <c r="E162" s="8"/>
      <c r="F162" s="8">
        <f t="shared" si="14"/>
        <v>0</v>
      </c>
      <c r="G162" s="38"/>
    </row>
    <row r="163" spans="1:8" s="1" customFormat="1" ht="13.8" x14ac:dyDescent="0.25">
      <c r="A163" s="62" t="s">
        <v>49</v>
      </c>
      <c r="B163" s="62"/>
      <c r="C163" s="62"/>
      <c r="D163" s="62"/>
      <c r="E163" s="62"/>
      <c r="F163" s="12">
        <f>SUM(F160:F162)</f>
        <v>0</v>
      </c>
    </row>
    <row r="164" spans="1:8" s="1" customFormat="1" ht="13.8" x14ac:dyDescent="0.25">
      <c r="A164" s="2">
        <v>6</v>
      </c>
      <c r="B164" s="61" t="s">
        <v>13</v>
      </c>
      <c r="C164" s="61"/>
      <c r="D164" s="61"/>
      <c r="E164" s="61"/>
      <c r="F164" s="61"/>
    </row>
    <row r="165" spans="1:8" s="1" customFormat="1" ht="16.8" x14ac:dyDescent="0.25">
      <c r="A165" s="13" t="s">
        <v>44</v>
      </c>
      <c r="B165" s="6" t="s">
        <v>14</v>
      </c>
      <c r="C165" s="9" t="s">
        <v>66</v>
      </c>
      <c r="D165" s="7">
        <f>2*((2*1.2*2.2)+(4*1.8*1.2))</f>
        <v>27.840000000000003</v>
      </c>
      <c r="E165" s="43"/>
      <c r="F165" s="8">
        <f>+E165*D165</f>
        <v>0</v>
      </c>
    </row>
    <row r="166" spans="1:8" s="1" customFormat="1" ht="27.6" x14ac:dyDescent="0.25">
      <c r="A166" s="13" t="s">
        <v>45</v>
      </c>
      <c r="B166" s="40" t="s">
        <v>127</v>
      </c>
      <c r="C166" s="41" t="s">
        <v>66</v>
      </c>
      <c r="D166" s="42">
        <f>+(32.6*2.4)-((2*1.2*0.6)+(4*1.8*0.6))</f>
        <v>72.47999999999999</v>
      </c>
      <c r="E166" s="43"/>
      <c r="F166" s="8">
        <f t="shared" ref="F166:F168" si="15">+E166*D166</f>
        <v>0</v>
      </c>
      <c r="G166" s="38"/>
      <c r="H166" s="44"/>
    </row>
    <row r="167" spans="1:8" s="1" customFormat="1" ht="27.6" x14ac:dyDescent="0.25">
      <c r="A167" s="13" t="s">
        <v>46</v>
      </c>
      <c r="B167" s="40" t="s">
        <v>128</v>
      </c>
      <c r="C167" s="41" t="s">
        <v>66</v>
      </c>
      <c r="D167" s="42">
        <f>+(32.6*2.4)-((2*1.2*0.6)+(4*1.8*0.6))</f>
        <v>72.47999999999999</v>
      </c>
      <c r="E167" s="43"/>
      <c r="F167" s="8">
        <f t="shared" si="15"/>
        <v>0</v>
      </c>
      <c r="G167" s="38"/>
      <c r="H167" s="44"/>
    </row>
    <row r="168" spans="1:8" s="1" customFormat="1" ht="16.8" x14ac:dyDescent="0.25">
      <c r="A168" s="13" t="s">
        <v>47</v>
      </c>
      <c r="B168" s="6" t="s">
        <v>50</v>
      </c>
      <c r="C168" s="9" t="s">
        <v>66</v>
      </c>
      <c r="D168" s="7">
        <f>6*1.4*2</f>
        <v>16.799999999999997</v>
      </c>
      <c r="E168" s="8"/>
      <c r="F168" s="8">
        <f t="shared" si="15"/>
        <v>0</v>
      </c>
    </row>
    <row r="169" spans="1:8" s="1" customFormat="1" ht="13.8" x14ac:dyDescent="0.25">
      <c r="A169" s="62" t="s">
        <v>51</v>
      </c>
      <c r="B169" s="62"/>
      <c r="C169" s="62"/>
      <c r="D169" s="62"/>
      <c r="E169" s="62"/>
      <c r="F169" s="12">
        <f>SUM(F165:F168)</f>
        <v>0</v>
      </c>
    </row>
    <row r="170" spans="1:8" s="1" customFormat="1" ht="13.8" x14ac:dyDescent="0.25">
      <c r="A170" s="2">
        <v>7</v>
      </c>
      <c r="B170" s="61" t="s">
        <v>84</v>
      </c>
      <c r="C170" s="61"/>
      <c r="D170" s="61"/>
      <c r="E170" s="61"/>
      <c r="F170" s="61"/>
    </row>
    <row r="171" spans="1:8" s="1" customFormat="1" ht="27.6" x14ac:dyDescent="0.25">
      <c r="A171" s="24" t="s">
        <v>85</v>
      </c>
      <c r="B171" s="6" t="s">
        <v>86</v>
      </c>
      <c r="C171" s="9" t="s">
        <v>10</v>
      </c>
      <c r="D171" s="9">
        <v>100</v>
      </c>
      <c r="E171" s="25"/>
      <c r="F171" s="8">
        <f>D171*E171</f>
        <v>0</v>
      </c>
    </row>
    <row r="172" spans="1:8" s="1" customFormat="1" ht="13.8" x14ac:dyDescent="0.25">
      <c r="A172" s="62" t="s">
        <v>87</v>
      </c>
      <c r="B172" s="62"/>
      <c r="C172" s="62"/>
      <c r="D172" s="62"/>
      <c r="E172" s="62"/>
      <c r="F172" s="12">
        <f>F171</f>
        <v>0</v>
      </c>
    </row>
    <row r="173" spans="1:8" s="1" customFormat="1" ht="13.8" x14ac:dyDescent="0.25">
      <c r="A173" s="63" t="s">
        <v>96</v>
      </c>
      <c r="B173" s="63"/>
      <c r="C173" s="63"/>
      <c r="D173" s="63"/>
      <c r="E173" s="63"/>
      <c r="F173" s="22">
        <f>SUM(F172,F169,F163,F158,F150,F138,F130)</f>
        <v>0</v>
      </c>
    </row>
    <row r="174" spans="1:8" s="1" customFormat="1" ht="13.8" x14ac:dyDescent="0.25">
      <c r="A174" s="63" t="s">
        <v>95</v>
      </c>
      <c r="B174" s="63"/>
      <c r="C174" s="63"/>
      <c r="D174" s="63"/>
      <c r="E174" s="63"/>
      <c r="F174" s="22">
        <f>+F173*0.18</f>
        <v>0</v>
      </c>
    </row>
    <row r="175" spans="1:8" s="1" customFormat="1" ht="13.8" x14ac:dyDescent="0.25">
      <c r="A175" s="63" t="s">
        <v>94</v>
      </c>
      <c r="B175" s="63"/>
      <c r="C175" s="63"/>
      <c r="D175" s="63"/>
      <c r="E175" s="63"/>
      <c r="F175" s="22">
        <f>+F173+F174</f>
        <v>0</v>
      </c>
    </row>
    <row r="179" spans="1:7" x14ac:dyDescent="0.3">
      <c r="A179" s="72" t="s">
        <v>102</v>
      </c>
      <c r="B179" s="72"/>
      <c r="C179" s="72"/>
      <c r="D179" s="72"/>
      <c r="E179" s="72"/>
      <c r="F179" s="72"/>
    </row>
    <row r="180" spans="1:7" ht="31.2" customHeight="1" x14ac:dyDescent="0.3">
      <c r="A180" s="73" t="s">
        <v>73</v>
      </c>
      <c r="B180" s="74" t="s">
        <v>143</v>
      </c>
      <c r="C180" s="74"/>
      <c r="D180" s="74"/>
      <c r="E180" s="17" t="s">
        <v>91</v>
      </c>
      <c r="F180" s="23">
        <f>F56</f>
        <v>0</v>
      </c>
    </row>
    <row r="181" spans="1:7" ht="28.2" customHeight="1" x14ac:dyDescent="0.3">
      <c r="A181" s="73"/>
      <c r="B181" s="74"/>
      <c r="C181" s="74"/>
      <c r="D181" s="74"/>
      <c r="E181" s="18" t="s">
        <v>74</v>
      </c>
      <c r="F181" s="23">
        <f>F58</f>
        <v>0</v>
      </c>
    </row>
    <row r="182" spans="1:7" ht="27.6" customHeight="1" x14ac:dyDescent="0.3">
      <c r="A182" s="73" t="s">
        <v>88</v>
      </c>
      <c r="B182" s="74" t="s">
        <v>142</v>
      </c>
      <c r="C182" s="74"/>
      <c r="D182" s="74"/>
      <c r="E182" s="17" t="s">
        <v>92</v>
      </c>
      <c r="F182" s="23">
        <f>F114</f>
        <v>0</v>
      </c>
    </row>
    <row r="183" spans="1:7" ht="31.2" customHeight="1" x14ac:dyDescent="0.3">
      <c r="A183" s="73"/>
      <c r="B183" s="74"/>
      <c r="C183" s="74"/>
      <c r="D183" s="74"/>
      <c r="E183" s="18" t="s">
        <v>93</v>
      </c>
      <c r="F183" s="23">
        <f>F116</f>
        <v>0</v>
      </c>
    </row>
    <row r="184" spans="1:7" ht="27.6" customHeight="1" x14ac:dyDescent="0.3">
      <c r="A184" s="73" t="s">
        <v>89</v>
      </c>
      <c r="B184" s="74" t="s">
        <v>134</v>
      </c>
      <c r="C184" s="74"/>
      <c r="D184" s="74"/>
      <c r="E184" s="17" t="s">
        <v>92</v>
      </c>
      <c r="F184" s="23">
        <f>F173</f>
        <v>0</v>
      </c>
    </row>
    <row r="185" spans="1:7" ht="31.2" customHeight="1" x14ac:dyDescent="0.3">
      <c r="A185" s="73"/>
      <c r="B185" s="74"/>
      <c r="C185" s="74"/>
      <c r="D185" s="74"/>
      <c r="E185" s="18" t="s">
        <v>93</v>
      </c>
      <c r="F185" s="23">
        <f>F175</f>
        <v>0</v>
      </c>
    </row>
    <row r="186" spans="1:7" ht="18" x14ac:dyDescent="0.35">
      <c r="A186" s="66" t="s">
        <v>140</v>
      </c>
      <c r="B186" s="67"/>
      <c r="C186" s="67"/>
      <c r="D186" s="67"/>
      <c r="E186" s="68"/>
      <c r="F186" s="28">
        <f>SUM(F180,F182,F184)</f>
        <v>0</v>
      </c>
      <c r="G186" s="29">
        <f>F186/655.957</f>
        <v>0</v>
      </c>
    </row>
    <row r="187" spans="1:7" ht="18" x14ac:dyDescent="0.35">
      <c r="A187" s="69" t="s">
        <v>90</v>
      </c>
      <c r="B187" s="70"/>
      <c r="C187" s="70"/>
      <c r="D187" s="70"/>
      <c r="E187" s="71"/>
      <c r="F187" s="28">
        <f>SUM(F174,F115,F57)</f>
        <v>0</v>
      </c>
      <c r="G187" s="29">
        <f t="shared" ref="G187:G188" si="16">F187/655.957</f>
        <v>0</v>
      </c>
    </row>
    <row r="188" spans="1:7" ht="18" x14ac:dyDescent="0.35">
      <c r="A188" s="66" t="s">
        <v>141</v>
      </c>
      <c r="B188" s="67"/>
      <c r="C188" s="67"/>
      <c r="D188" s="67"/>
      <c r="E188" s="68"/>
      <c r="F188" s="28">
        <f>SUM(F181,F183,F185)</f>
        <v>0</v>
      </c>
      <c r="G188" s="29">
        <f t="shared" si="16"/>
        <v>0</v>
      </c>
    </row>
  </sheetData>
  <mergeCells count="67">
    <mergeCell ref="A184:A185"/>
    <mergeCell ref="B184:D185"/>
    <mergeCell ref="A150:E150"/>
    <mergeCell ref="A119:F119"/>
    <mergeCell ref="A121:F121"/>
    <mergeCell ref="B123:F123"/>
    <mergeCell ref="A130:E130"/>
    <mergeCell ref="B131:F131"/>
    <mergeCell ref="A138:E138"/>
    <mergeCell ref="B139:F139"/>
    <mergeCell ref="B151:F151"/>
    <mergeCell ref="A158:E158"/>
    <mergeCell ref="B159:F159"/>
    <mergeCell ref="A163:E163"/>
    <mergeCell ref="B164:F164"/>
    <mergeCell ref="A169:E169"/>
    <mergeCell ref="A173:E173"/>
    <mergeCell ref="A174:E174"/>
    <mergeCell ref="A175:E175"/>
    <mergeCell ref="B170:F170"/>
    <mergeCell ref="A172:E172"/>
    <mergeCell ref="A179:F179"/>
    <mergeCell ref="A180:A181"/>
    <mergeCell ref="B180:D181"/>
    <mergeCell ref="A182:A183"/>
    <mergeCell ref="B182:D183"/>
    <mergeCell ref="A188:E188"/>
    <mergeCell ref="A186:E186"/>
    <mergeCell ref="A187:E187"/>
    <mergeCell ref="A1:F1"/>
    <mergeCell ref="A3:F3"/>
    <mergeCell ref="B5:F5"/>
    <mergeCell ref="A12:E12"/>
    <mergeCell ref="B13:F13"/>
    <mergeCell ref="A20:E20"/>
    <mergeCell ref="B21:F21"/>
    <mergeCell ref="A32:E32"/>
    <mergeCell ref="B33:F33"/>
    <mergeCell ref="A41:E41"/>
    <mergeCell ref="B42:F42"/>
    <mergeCell ref="A46:E46"/>
    <mergeCell ref="B47:F47"/>
    <mergeCell ref="A52:E52"/>
    <mergeCell ref="B53:F53"/>
    <mergeCell ref="A55:E55"/>
    <mergeCell ref="A56:E56"/>
    <mergeCell ref="A57:E57"/>
    <mergeCell ref="A58:E58"/>
    <mergeCell ref="A60:F60"/>
    <mergeCell ref="A62:F62"/>
    <mergeCell ref="B64:F64"/>
    <mergeCell ref="A71:E71"/>
    <mergeCell ref="B72:F72"/>
    <mergeCell ref="A79:E79"/>
    <mergeCell ref="B80:F80"/>
    <mergeCell ref="A91:E91"/>
    <mergeCell ref="B92:F92"/>
    <mergeCell ref="A99:E99"/>
    <mergeCell ref="B100:F100"/>
    <mergeCell ref="A104:E104"/>
    <mergeCell ref="B105:F105"/>
    <mergeCell ref="A110:E110"/>
    <mergeCell ref="B111:F111"/>
    <mergeCell ref="A113:E113"/>
    <mergeCell ref="A114:E114"/>
    <mergeCell ref="A115:E115"/>
    <mergeCell ref="A116:E1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o99d250c03344da181939f0145dbc023 xmlns="14a9c00f-d9e3-4eb9-aad3-f69239d17d9c">
      <Terms xmlns="http://schemas.microsoft.com/office/infopath/2007/PartnerControls">
        <TermInfo xmlns="http://schemas.microsoft.com/office/infopath/2007/PartnerControls">
          <TermName xmlns="http://schemas.microsoft.com/office/infopath/2007/PartnerControls">FR</TermName>
          <TermId xmlns="http://schemas.microsoft.com/office/infopath/2007/PartnerControls">e5b11214-e6fc-4287-b1cb-b050c041462c</TermId>
        </TermInfo>
      </Terms>
    </o99d250c03344da181939f0145dbc023>
    <e2b781e9cad840cd89b90f5a7e989839 xmlns="14a9c00f-d9e3-4eb9-aad3-f69239d17d9c">
      <Terms xmlns="http://schemas.microsoft.com/office/infopath/2007/PartnerControls"/>
    </e2b781e9cad840cd89b90f5a7e989839>
    <lcf76f155ced4ddcb4097134ff3c332f xmlns="017ef222-b715-482d-b25e-e029bead7086">
      <Terms xmlns="http://schemas.microsoft.com/office/infopath/2007/PartnerControls"/>
    </lcf76f155ced4ddcb4097134ff3c332f>
    <TaxCatchAll xmlns="1c89b6ff-5735-4b3c-9dca-50e80957a65b">
      <Value>2</Value>
      <Value>1</Value>
    </TaxCatchAll>
    <jcd7455606374210a964e5d7a999097a xmlns="14a9c00f-d9e3-4eb9-aad3-f69239d17d9c">
      <Terms xmlns="http://schemas.microsoft.com/office/infopath/2007/PartnerControls">
        <TermInfo xmlns="http://schemas.microsoft.com/office/infopath/2007/PartnerControls">
          <TermName xmlns="http://schemas.microsoft.com/office/infopath/2007/PartnerControls">BFA</TermName>
          <TermId xmlns="http://schemas.microsoft.com/office/infopath/2007/PartnerControls">5c109890-987f-4e01-800e-8d3dbccbd13c</TermId>
        </TermInfo>
      </Terms>
    </jcd7455606374210a964e5d7a999097a>
    <_ip_UnifiedCompliancePolicyProperties xmlns="http://schemas.microsoft.com/sharepoint/v3" xsi:nil="true"/>
    <j50cb40f2a0941d2947e6bcbd5d19dce xmlns="14a9c00f-d9e3-4eb9-aad3-f69239d17d9c">
      <Terms xmlns="http://schemas.microsoft.com/office/infopath/2007/PartnerControls"/>
    </j50cb40f2a0941d2947e6bcbd5d19dce>
    <kecc0e8a0a3349c79c5d1d6e51bea7c3 xmlns="14a9c00f-d9e3-4eb9-aad3-f69239d17d9c">
      <Terms xmlns="http://schemas.microsoft.com/office/infopath/2007/PartnerControls"/>
    </kecc0e8a0a3349c79c5d1d6e51bea7c3>
    <l9d65098618b4a8fbbe87718e7187e6b xmlns="14a9c00f-d9e3-4eb9-aad3-f69239d17d9c">
      <Terms xmlns="http://schemas.microsoft.com/office/infopath/2007/PartnerControls"/>
    </l9d65098618b4a8fbbe87718e7187e6b>
    <_dlc_DocId xmlns="508ba6eb-9e09-4fd5-92f2-2d9921329f2d">BFAENABEL-680963957-162422</_dlc_DocId>
    <_dlc_DocIdUrl xmlns="508ba6eb-9e09-4fd5-92f2-2d9921329f2d">
      <Url>https://enabelbe.sharepoint.com/sites/BFA/_layouts/15/DocIdRedir.aspx?ID=BFAENABEL-680963957-162422</Url>
      <Description>BFAENABEL-680963957-162422</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Contract_document" ma:contentTypeID="0x01010084FDA68FEA25C847A6128BBA7C1A6EC100DB6DE8DA9F5B134CB8F62B604C7D5447" ma:contentTypeVersion="30" ma:contentTypeDescription="" ma:contentTypeScope="" ma:versionID="5cb1f0a472ce065eb58514e7f75185e3">
  <xsd:schema xmlns:xsd="http://www.w3.org/2001/XMLSchema" xmlns:xs="http://www.w3.org/2001/XMLSchema" xmlns:p="http://schemas.microsoft.com/office/2006/metadata/properties" xmlns:ns1="http://schemas.microsoft.com/sharepoint/v3" xmlns:ns2="1c89b6ff-5735-4b3c-9dca-50e80957a65b" xmlns:ns3="14a9c00f-d9e3-4eb9-aad3-f69239d17d9c" xmlns:ns4="508ba6eb-9e09-4fd5-92f2-2d9921329f2d" xmlns:ns5="017ef222-b715-482d-b25e-e029bead7086" targetNamespace="http://schemas.microsoft.com/office/2006/metadata/properties" ma:root="true" ma:fieldsID="09118cccbf28464a601651fc606f7011" ns1:_="" ns2:_="" ns3:_="" ns4:_="" ns5:_="">
    <xsd:import namespace="http://schemas.microsoft.com/sharepoint/v3"/>
    <xsd:import namespace="1c89b6ff-5735-4b3c-9dca-50e80957a65b"/>
    <xsd:import namespace="14a9c00f-d9e3-4eb9-aad3-f69239d17d9c"/>
    <xsd:import namespace="508ba6eb-9e09-4fd5-92f2-2d9921329f2d"/>
    <xsd:import namespace="017ef222-b715-482d-b25e-e029bead7086"/>
    <xsd:element name="properties">
      <xsd:complexType>
        <xsd:sequence>
          <xsd:element name="documentManagement">
            <xsd:complexType>
              <xsd:all>
                <xsd:element ref="ns2:TaxCatchAll" minOccurs="0"/>
                <xsd:element ref="ns2:TaxCatchAllLabel" minOccurs="0"/>
                <xsd:element ref="ns3:o99d250c03344da181939f0145dbc023" minOccurs="0"/>
                <xsd:element ref="ns3:j50cb40f2a0941d2947e6bcbd5d19dce" minOccurs="0"/>
                <xsd:element ref="ns3:kecc0e8a0a3349c79c5d1d6e51bea7c3" minOccurs="0"/>
                <xsd:element ref="ns3:l9d65098618b4a8fbbe87718e7187e6b" minOccurs="0"/>
                <xsd:element ref="ns3:jcd7455606374210a964e5d7a999097a" minOccurs="0"/>
                <xsd:element ref="ns3:e2b781e9cad840cd89b90f5a7e989839" minOccurs="0"/>
                <xsd:element ref="ns4:_dlc_DocId" minOccurs="0"/>
                <xsd:element ref="ns4:_dlc_DocIdUrl" minOccurs="0"/>
                <xsd:element ref="ns4:_dlc_DocIdPersistId" minOccurs="0"/>
                <xsd:element ref="ns2:SharedWithUsers" minOccurs="0"/>
                <xsd:element ref="ns2:SharedWithDetails" minOccurs="0"/>
                <xsd:element ref="ns5:MediaServiceMetadata" minOccurs="0"/>
                <xsd:element ref="ns5:MediaServiceFastMetadata" minOccurs="0"/>
                <xsd:element ref="ns5:MediaServiceAutoKeyPoints" minOccurs="0"/>
                <xsd:element ref="ns5:MediaServiceKeyPoints" minOccurs="0"/>
                <xsd:element ref="ns5:MediaServiceDateTaken" minOccurs="0"/>
                <xsd:element ref="ns5:MediaLengthInSeconds" minOccurs="0"/>
                <xsd:element ref="ns5:lcf76f155ced4ddcb4097134ff3c332f" minOccurs="0"/>
                <xsd:element ref="ns5:MediaServiceGenerationTime" minOccurs="0"/>
                <xsd:element ref="ns5:MediaServiceEventHashCode" minOccurs="0"/>
                <xsd:element ref="ns5:MediaServiceLocation" minOccurs="0"/>
                <xsd:element ref="ns5:MediaServiceOCR" minOccurs="0"/>
                <xsd:element ref="ns1:_ip_UnifiedCompliancePolicyProperties" minOccurs="0"/>
                <xsd:element ref="ns1:_ip_UnifiedCompliancePolicyUIAction" minOccurs="0"/>
                <xsd:element ref="ns5:MediaServiceObjectDetectorVersions" minOccurs="0"/>
                <xsd:element ref="ns5:MediaServiceSearchProperties" minOccurs="0"/>
                <xsd:element ref="ns5: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9" nillable="true" ma:displayName="Propriétés de la stratégie de conformité unifiée" ma:hidden="true" ma:internalName="_ip_UnifiedCompliancePolicyProperties">
      <xsd:simpleType>
        <xsd:restriction base="dms:Note"/>
      </xsd:simpleType>
    </xsd:element>
    <xsd:element name="_ip_UnifiedCompliancePolicyUIAction" ma:index="40" nillable="true" ma:displayName="Action d’interface utilisateur de la stratégie de conformité unifiée"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c89b6ff-5735-4b3c-9dca-50e80957a65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4c7a6b74-e0c3-46af-9e55-7dedf737cce8}" ma:internalName="TaxCatchAll" ma:showField="CatchAllData" ma:web="1c89b6ff-5735-4b3c-9dca-50e80957a65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4c7a6b74-e0c3-46af-9e55-7dedf737cce8}" ma:internalName="TaxCatchAllLabel" ma:readOnly="true" ma:showField="CatchAllDataLabel" ma:web="1c89b6ff-5735-4b3c-9dca-50e80957a65b">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Partagé avec dé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4a9c00f-d9e3-4eb9-aad3-f69239d17d9c" elementFormDefault="qualified">
    <xsd:import namespace="http://schemas.microsoft.com/office/2006/documentManagement/types"/>
    <xsd:import namespace="http://schemas.microsoft.com/office/infopath/2007/PartnerControls"/>
    <xsd:element name="o99d250c03344da181939f0145dbc023" ma:index="10" nillable="true" ma:taxonomy="true" ma:internalName="o99d250c03344da181939f0145dbc023" ma:taxonomyFieldName="Document_Language" ma:displayName="Document_Language" ma:readOnly="false" ma:default="2;#FR|e5b11214-e6fc-4287-b1cb-b050c041462c" ma:fieldId="{899d250c-0334-4da1-8193-9f0145dbc023}"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j50cb40f2a0941d2947e6bcbd5d19dce" ma:index="12" nillable="true" ma:taxonomy="true" ma:internalName="j50cb40f2a0941d2947e6bcbd5d19dce" ma:taxonomyFieldName="Document_Type" ma:displayName="Document_Type" ma:readOnly="false" ma:default="" ma:fieldId="{350cb40f-2a09-41d2-947e-6bcbd5d19dc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kecc0e8a0a3349c79c5d1d6e51bea7c3" ma:index="14" nillable="true" ma:taxonomy="true" ma:internalName="kecc0e8a0a3349c79c5d1d6e51bea7c3" ma:taxonomyFieldName="Document_Status" ma:displayName="Document_Status" ma:readOnly="false" ma:default="" ma:fieldId="{4ecc0e8a-0a33-49c7-9c5d-1d6e51bea7c3}" ma:sspId="60552f54-6c29-411d-8801-9a0c08c1a1a0" ma:termSetId="44d061db-62b2-4b12-a4d8-975f9639cbdb" ma:anchorId="00000000-0000-0000-0000-000000000000" ma:open="false" ma:isKeyword="false">
      <xsd:complexType>
        <xsd:sequence>
          <xsd:element ref="pc:Terms" minOccurs="0" maxOccurs="1"/>
        </xsd:sequence>
      </xsd:complexType>
    </xsd:element>
    <xsd:element name="l9d65098618b4a8fbbe87718e7187e6b" ma:index="15" nillable="true" ma:taxonomy="true" ma:internalName="l9d65098618b4a8fbbe87718e7187e6b" ma:taxonomyFieldName="Contract_reference" ma:displayName="Contract_reference" ma:readOnly="false" ma:default="" ma:fieldId="{59d65098-618b-4a8f-bbe8-7718e7187e6b}" ma:sspId="60552f54-6c29-411d-8801-9a0c08c1a1a0" ma:termSetId="6b2ff0ad-1426-4170-972c-650f8b36e801" ma:anchorId="00000000-0000-0000-0000-000000000000" ma:open="false" ma:isKeyword="false">
      <xsd:complexType>
        <xsd:sequence>
          <xsd:element ref="pc:Terms" minOccurs="0" maxOccurs="1"/>
        </xsd:sequence>
      </xsd:complexType>
    </xsd:element>
    <xsd:element name="jcd7455606374210a964e5d7a999097a" ma:index="16" nillable="true" ma:taxonomy="true" ma:internalName="jcd7455606374210a964e5d7a999097a" ma:taxonomyFieldName="Country" ma:displayName="Country" ma:readOnly="false" ma:default="1;#BFA|5c109890-987f-4e01-800e-8d3dbccbd13c" ma:fieldId="{3cd74556-0637-4210-a964-e5d7a999097a}" ma:sspId="60552f54-6c29-411d-8801-9a0c08c1a1a0" ma:termSetId="a5b2ccc0-0626-4c6c-a942-5ad76bcb68f2" ma:anchorId="00000000-0000-0000-0000-000000000000" ma:open="false" ma:isKeyword="false">
      <xsd:complexType>
        <xsd:sequence>
          <xsd:element ref="pc:Terms" minOccurs="0" maxOccurs="1"/>
        </xsd:sequence>
      </xsd:complexType>
    </xsd:element>
    <xsd:element name="e2b781e9cad840cd89b90f5a7e989839" ma:index="19" nillable="true" ma:taxonomy="true" ma:internalName="e2b781e9cad840cd89b90f5a7e989839" ma:taxonomyFieldName="Project_code" ma:displayName="Project_code" ma:readOnly="false" ma:default="" ma:fieldId="{e2b781e9-cad8-40cd-89b9-0f5a7e989839}" ma:sspId="60552f54-6c29-411d-8801-9a0c08c1a1a0" ma:termSetId="8587b757-e1df-402e-8661-395e63ee946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8ba6eb-9e09-4fd5-92f2-2d9921329f2d" elementFormDefault="qualified">
    <xsd:import namespace="http://schemas.microsoft.com/office/2006/documentManagement/types"/>
    <xsd:import namespace="http://schemas.microsoft.com/office/infopath/2007/PartnerControls"/>
    <xsd:element name="_dlc_DocId" ma:index="22" nillable="true" ma:displayName="Document ID Value" ma:description="The value of the document ID assigned to this item."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Id blijven behouden" ma:description="Id behouden tijdens toevoegen."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7ef222-b715-482d-b25e-e029bead7086"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MediaLengthInSeconds" ma:hidden="true" ma:internalName="MediaLengthInSeconds" ma:readOnly="true">
      <xsd:simpleType>
        <xsd:restriction base="dms:Unknown"/>
      </xsd:simpleType>
    </xsd:element>
    <xsd:element name="lcf76f155ced4ddcb4097134ff3c332f" ma:index="34" nillable="true" ma:taxonomy="true" ma:internalName="lcf76f155ced4ddcb4097134ff3c332f" ma:taxonomyFieldName="MediaServiceImageTags" ma:displayName="Balises d’images" ma:readOnly="false" ma:fieldId="{5cf76f15-5ced-4ddc-b409-7134ff3c332f}" ma:taxonomyMulti="true" ma:sspId="60552f54-6c29-411d-8801-9a0c08c1a1a0" ma:termSetId="09814cd3-568e-fe90-9814-8d621ff8fb84" ma:anchorId="fba54fb3-c3e1-fe81-a776-ca4b69148c4d" ma:open="true" ma:isKeyword="false">
      <xsd:complexType>
        <xsd:sequence>
          <xsd:element ref="pc:Terms" minOccurs="0" maxOccurs="1"/>
        </xsd:sequence>
      </xsd:complex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ServiceLocation" ma:index="37" nillable="true" ma:displayName="Location" ma:internalName="MediaServiceLocation"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element name="MediaServiceObjectDetectorVersions" ma:index="4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42" nillable="true" ma:displayName="MediaServiceSearchProperties" ma:hidden="true" ma:internalName="MediaServiceSearchProperties" ma:readOnly="true">
      <xsd:simpleType>
        <xsd:restriction base="dms:Note"/>
      </xsd:simpleType>
    </xsd:element>
    <xsd:element name="MediaServiceBillingMetadata" ma:index="43"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8" ma:displayName="Type de contenu"/>
        <xsd:element ref="dc:title" minOccurs="0" maxOccurs="1"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7A831F3-BD03-4263-9B00-014F5A04C139}">
  <ds:schemaRefs>
    <ds:schemaRef ds:uri="http://schemas.microsoft.com/office/2006/metadata/properties"/>
    <ds:schemaRef ds:uri="http://schemas.microsoft.com/office/infopath/2007/PartnerControls"/>
    <ds:schemaRef ds:uri="http://schemas.microsoft.com/sharepoint/v3"/>
    <ds:schemaRef ds:uri="14a9c00f-d9e3-4eb9-aad3-f69239d17d9c"/>
    <ds:schemaRef ds:uri="017ef222-b715-482d-b25e-e029bead7086"/>
    <ds:schemaRef ds:uri="1c89b6ff-5735-4b3c-9dca-50e80957a65b"/>
    <ds:schemaRef ds:uri="508ba6eb-9e09-4fd5-92f2-2d9921329f2d"/>
  </ds:schemaRefs>
</ds:datastoreItem>
</file>

<file path=customXml/itemProps2.xml><?xml version="1.0" encoding="utf-8"?>
<ds:datastoreItem xmlns:ds="http://schemas.openxmlformats.org/officeDocument/2006/customXml" ds:itemID="{108EB1CA-86D7-413D-95D0-665AE751CE16}">
  <ds:schemaRefs>
    <ds:schemaRef ds:uri="http://schemas.microsoft.com/sharepoint/v3/contenttype/forms"/>
  </ds:schemaRefs>
</ds:datastoreItem>
</file>

<file path=customXml/itemProps3.xml><?xml version="1.0" encoding="utf-8"?>
<ds:datastoreItem xmlns:ds="http://schemas.openxmlformats.org/officeDocument/2006/customXml" ds:itemID="{6EDFAAE5-37E5-4294-951A-6B3BA9172F7C}">
  <ds:schemaRefs>
    <ds:schemaRef ds:uri="http://schemas.microsoft.com/sharepoint/events"/>
  </ds:schemaRefs>
</ds:datastoreItem>
</file>

<file path=customXml/itemProps4.xml><?xml version="1.0" encoding="utf-8"?>
<ds:datastoreItem xmlns:ds="http://schemas.openxmlformats.org/officeDocument/2006/customXml" ds:itemID="{6A10C121-1F24-4A07-B330-E4580F1CCAC6}"/>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LOT 1 </vt:lpstr>
      <vt:lpstr>LOT 2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DARGANI, Eleonore</cp:lastModifiedBy>
  <cp:lastPrinted>2025-05-04T17:05:59Z</cp:lastPrinted>
  <dcterms:created xsi:type="dcterms:W3CDTF">2024-12-16T16:20:17Z</dcterms:created>
  <dcterms:modified xsi:type="dcterms:W3CDTF">2026-10-16T16:28:40Z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0x01010084FDA68FEA25C847A6128BBA7C1A6EC100DB6DE8DA9F5B134CB8F62B604C7D5447</vt:lpwstr>
  </property>
  <property fmtid="{D5CDD505-2E9C-101B-9397-08002B2CF9AE}" pid="3" name="Document_Language">
    <vt:lpwstr>2;#FR|e5b11214-e6fc-4287-b1cb-b050c041462c</vt:lpwstr>
  </property>
  <property fmtid="{D5CDD505-2E9C-101B-9397-08002B2CF9AE}" pid="4" name="Country">
    <vt:lpwstr>1;#BFA|5c109890-987f-4e01-800e-8d3dbccbd13c</vt:lpwstr>
  </property>
  <property fmtid="{D5CDD505-2E9C-101B-9397-08002B2CF9AE}" pid="5" name="_dlc_DocIdItemGuid">
    <vt:lpwstr>4d84c8e6-ed3b-4ebf-a8fb-18a3123083f2</vt:lpwstr>
  </property>
  <property fmtid="{D5CDD505-2E9C-101B-9397-08002B2CF9AE}" pid="6" name="MediaServiceImageTags">
    <vt:lpwstr/>
  </property>
  <property fmtid="{D5CDD505-2E9C-101B-9397-08002B2CF9AE}" pid="7" name="Document_Type">
    <vt:lpwstr/>
  </property>
  <property fmtid="{D5CDD505-2E9C-101B-9397-08002B2CF9AE}" pid="8" name="Document_Status">
    <vt:lpwstr/>
  </property>
  <property fmtid="{D5CDD505-2E9C-101B-9397-08002B2CF9AE}" pid="9" name="Contract_reference">
    <vt:lpwstr/>
  </property>
  <property fmtid="{D5CDD505-2E9C-101B-9397-08002B2CF9AE}" pid="10" name="Project_code">
    <vt:lpwstr/>
  </property>
</Properties>
</file>